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75" windowWidth="15480" windowHeight="7935"/>
  </bookViews>
  <sheets>
    <sheet name="Inicio" sheetId="50" r:id="rId1"/>
    <sheet name="Supuestos Iniciales" sheetId="7" r:id="rId2"/>
    <sheet name="Balance_10" sheetId="9" r:id="rId3"/>
    <sheet name="Balance_ajustado" sheetId="6" r:id="rId4"/>
    <sheet name="PyG_10" sheetId="13" r:id="rId5"/>
    <sheet name="Proyecciones_10" sheetId="17" r:id="rId6"/>
    <sheet name="Valoración empresa_10" sheetId="21" r:id="rId7"/>
  </sheets>
  <definedNames>
    <definedName name="_xlnm._FilterDatabase" localSheetId="2" hidden="1">Balance_10!$B$6:$H$15</definedName>
    <definedName name="anys">Inicio!$C$4</definedName>
    <definedName name="_xlnm.Print_Area" localSheetId="2">Balance_10!$A$1:$AJ$32</definedName>
    <definedName name="_xlnm.Print_Area" localSheetId="3">Balance_ajustado!$A$1:$D$38</definedName>
    <definedName name="_xlnm.Print_Area" localSheetId="5">Proyecciones_10!$A$1:$P$43</definedName>
    <definedName name="_xlnm.Print_Area" localSheetId="4">PyG_10!$A$1:$O$34</definedName>
    <definedName name="_xlnm.Print_Area" localSheetId="1">'Supuestos Iniciales'!$A$1:$I$49</definedName>
    <definedName name="_xlnm.Print_Area" localSheetId="6">'Valoración empresa_10'!$A$1:$P$23</definedName>
  </definedNames>
  <calcPr calcId="124519"/>
</workbook>
</file>

<file path=xl/calcChain.xml><?xml version="1.0" encoding="utf-8"?>
<calcChain xmlns="http://schemas.openxmlformats.org/spreadsheetml/2006/main">
  <c r="AB9" i="9"/>
  <c r="AC9"/>
  <c r="AD9" s="1"/>
  <c r="AE9" s="1"/>
  <c r="AF9" s="1"/>
  <c r="AG9" s="1"/>
  <c r="AH9" s="1"/>
  <c r="AI9" s="1"/>
  <c r="AA9"/>
  <c r="Z9"/>
  <c r="Q9"/>
  <c r="R9" s="1"/>
  <c r="S9" s="1"/>
  <c r="T9" s="1"/>
  <c r="U9" s="1"/>
  <c r="V9" s="1"/>
  <c r="W9" s="1"/>
  <c r="X9" s="1"/>
  <c r="P9"/>
  <c r="O9"/>
  <c r="Z6"/>
  <c r="O6"/>
  <c r="D6"/>
  <c r="E6"/>
  <c r="F6"/>
  <c r="G6"/>
  <c r="H6"/>
  <c r="I6"/>
  <c r="J6"/>
  <c r="K6"/>
  <c r="L6"/>
  <c r="M6"/>
  <c r="C6"/>
  <c r="F9"/>
  <c r="G9" s="1"/>
  <c r="H9" s="1"/>
  <c r="I9" s="1"/>
  <c r="J9" s="1"/>
  <c r="K9" s="1"/>
  <c r="L9" s="1"/>
  <c r="M9" s="1"/>
  <c r="E9"/>
  <c r="D9"/>
  <c r="E2" i="21"/>
  <c r="C27" i="6"/>
  <c r="C30"/>
  <c r="C22" i="9"/>
  <c r="C18"/>
  <c r="C11"/>
  <c r="D13" i="17"/>
  <c r="D27" s="1"/>
  <c r="D41" s="1"/>
  <c r="D24" i="9"/>
  <c r="Z24" s="1"/>
  <c r="D23"/>
  <c r="O23" s="1"/>
  <c r="D21"/>
  <c r="E21" s="1"/>
  <c r="D20"/>
  <c r="Z20" s="1"/>
  <c r="D14"/>
  <c r="Z14" s="1"/>
  <c r="D13"/>
  <c r="E13" s="1"/>
  <c r="D12"/>
  <c r="Z12" s="1"/>
  <c r="D10"/>
  <c r="Z10" s="1"/>
  <c r="D8"/>
  <c r="E8" s="1"/>
  <c r="D7"/>
  <c r="Z7" s="1"/>
  <c r="E8" i="13"/>
  <c r="F8" s="1"/>
  <c r="G8" s="1"/>
  <c r="H8" s="1"/>
  <c r="I8" s="1"/>
  <c r="J8" s="1"/>
  <c r="K8" s="1"/>
  <c r="L8" s="1"/>
  <c r="M8" s="1"/>
  <c r="O21" i="9" l="1"/>
  <c r="E24"/>
  <c r="O24"/>
  <c r="E4" i="21"/>
  <c r="D10" i="17"/>
  <c r="Z21" i="9"/>
  <c r="D22"/>
  <c r="Z23"/>
  <c r="E23"/>
  <c r="F21"/>
  <c r="AA21"/>
  <c r="P21"/>
  <c r="E20"/>
  <c r="O20"/>
  <c r="F13"/>
  <c r="AA13"/>
  <c r="P13"/>
  <c r="E14"/>
  <c r="E12"/>
  <c r="E10" i="17" s="1"/>
  <c r="O13" i="9"/>
  <c r="Z13"/>
  <c r="O12"/>
  <c r="D24" i="17" s="1"/>
  <c r="O14" i="9"/>
  <c r="E7"/>
  <c r="O7"/>
  <c r="E10"/>
  <c r="O10"/>
  <c r="F8"/>
  <c r="AA8"/>
  <c r="P8"/>
  <c r="O8"/>
  <c r="Z8"/>
  <c r="O22"/>
  <c r="G13"/>
  <c r="F12"/>
  <c r="F23"/>
  <c r="Z22"/>
  <c r="Z18" s="1"/>
  <c r="D18"/>
  <c r="D38" i="17" l="1"/>
  <c r="AA24" i="9"/>
  <c r="P24"/>
  <c r="F24"/>
  <c r="F10" i="17"/>
  <c r="Q23" i="9"/>
  <c r="AB23"/>
  <c r="E22"/>
  <c r="AA23"/>
  <c r="AA22" s="1"/>
  <c r="P23"/>
  <c r="P22" s="1"/>
  <c r="G21"/>
  <c r="AB21"/>
  <c r="Q21"/>
  <c r="F20"/>
  <c r="AA20"/>
  <c r="AA18" s="1"/>
  <c r="P20"/>
  <c r="P18" s="1"/>
  <c r="H13"/>
  <c r="AC13"/>
  <c r="R13"/>
  <c r="AA12"/>
  <c r="P12"/>
  <c r="AB13"/>
  <c r="Q13"/>
  <c r="AB12"/>
  <c r="Q12"/>
  <c r="F14"/>
  <c r="AA14"/>
  <c r="P14"/>
  <c r="F7"/>
  <c r="AA7"/>
  <c r="P7"/>
  <c r="F10"/>
  <c r="AA10"/>
  <c r="P10"/>
  <c r="G8"/>
  <c r="AB8"/>
  <c r="Q8"/>
  <c r="G12"/>
  <c r="F22"/>
  <c r="G23"/>
  <c r="E18"/>
  <c r="O18"/>
  <c r="B3" i="6"/>
  <c r="B3" i="17"/>
  <c r="B3" i="13"/>
  <c r="B3" i="9"/>
  <c r="C4"/>
  <c r="C3" i="6"/>
  <c r="C3" i="13"/>
  <c r="D21" s="1"/>
  <c r="E21" s="1"/>
  <c r="F21" s="1"/>
  <c r="G21" s="1"/>
  <c r="H21" s="1"/>
  <c r="I21" s="1"/>
  <c r="J21" s="1"/>
  <c r="K21" s="1"/>
  <c r="L21" s="1"/>
  <c r="M21" s="1"/>
  <c r="C3" i="9"/>
  <c r="D3" s="1"/>
  <c r="E3" s="1"/>
  <c r="F3" s="1"/>
  <c r="C24" i="6"/>
  <c r="D7" i="21"/>
  <c r="F7" s="1"/>
  <c r="C7"/>
  <c r="E7" s="1"/>
  <c r="D6"/>
  <c r="F6" s="1"/>
  <c r="C6"/>
  <c r="E6" s="1"/>
  <c r="D5"/>
  <c r="F5" s="1"/>
  <c r="C5"/>
  <c r="E5" s="1"/>
  <c r="D25" i="13"/>
  <c r="D34" i="17" s="1"/>
  <c r="D23" i="13"/>
  <c r="E3" i="21"/>
  <c r="G24" i="9" l="1"/>
  <c r="AB24"/>
  <c r="AB22" s="1"/>
  <c r="Q24"/>
  <c r="F38" i="17"/>
  <c r="E38"/>
  <c r="Q22" i="9"/>
  <c r="E6" i="13"/>
  <c r="E8" i="17" s="1"/>
  <c r="D8"/>
  <c r="G10"/>
  <c r="F24"/>
  <c r="E24"/>
  <c r="AC23" i="9"/>
  <c r="R23"/>
  <c r="H21"/>
  <c r="AC21"/>
  <c r="R21"/>
  <c r="G20"/>
  <c r="AB20"/>
  <c r="Q20"/>
  <c r="Q18" s="1"/>
  <c r="AC12"/>
  <c r="G38" i="17" s="1"/>
  <c r="R12" i="9"/>
  <c r="G24" i="17" s="1"/>
  <c r="I13" i="9"/>
  <c r="AD13"/>
  <c r="S13"/>
  <c r="G14"/>
  <c r="AB14"/>
  <c r="Q14"/>
  <c r="AB7"/>
  <c r="Q7"/>
  <c r="G7"/>
  <c r="G10"/>
  <c r="AB10"/>
  <c r="Q10"/>
  <c r="H8"/>
  <c r="AC8"/>
  <c r="R8"/>
  <c r="H12"/>
  <c r="G22"/>
  <c r="H23"/>
  <c r="F18"/>
  <c r="Z3"/>
  <c r="O3"/>
  <c r="P3"/>
  <c r="G3"/>
  <c r="AB3"/>
  <c r="Q3"/>
  <c r="AA3"/>
  <c r="D3" i="13"/>
  <c r="D12"/>
  <c r="E12" s="1"/>
  <c r="F12" s="1"/>
  <c r="G12" s="1"/>
  <c r="H12" s="1"/>
  <c r="I12" s="1"/>
  <c r="J12" s="1"/>
  <c r="K12" s="1"/>
  <c r="L12" s="1"/>
  <c r="M12" s="1"/>
  <c r="H40" i="17"/>
  <c r="D6"/>
  <c r="D35"/>
  <c r="D7"/>
  <c r="E5" i="13"/>
  <c r="F5" s="1"/>
  <c r="F14" s="1"/>
  <c r="E7"/>
  <c r="E16" s="1"/>
  <c r="E26"/>
  <c r="E17"/>
  <c r="E24"/>
  <c r="E36" i="17" s="1"/>
  <c r="E15" i="13"/>
  <c r="E22" i="17" s="1"/>
  <c r="F6" i="13"/>
  <c r="F8" i="17" s="1"/>
  <c r="D15" i="13"/>
  <c r="D17"/>
  <c r="D24"/>
  <c r="D26"/>
  <c r="D14"/>
  <c r="D16"/>
  <c r="C14" i="6"/>
  <c r="C6"/>
  <c r="H24" i="9" l="1"/>
  <c r="AC24"/>
  <c r="AC22" s="1"/>
  <c r="R24"/>
  <c r="R22" s="1"/>
  <c r="AB18"/>
  <c r="D36" i="17"/>
  <c r="D22"/>
  <c r="D9"/>
  <c r="D15" i="9"/>
  <c r="D11" s="1"/>
  <c r="H10" i="17"/>
  <c r="S23" i="9"/>
  <c r="AD23"/>
  <c r="I21"/>
  <c r="AD21"/>
  <c r="S21"/>
  <c r="H20"/>
  <c r="AC20"/>
  <c r="R20"/>
  <c r="J13"/>
  <c r="AE13"/>
  <c r="T13"/>
  <c r="AD12"/>
  <c r="H38" i="17" s="1"/>
  <c r="S12" i="9"/>
  <c r="AC14"/>
  <c r="R14"/>
  <c r="H14"/>
  <c r="AC7"/>
  <c r="R7"/>
  <c r="H7"/>
  <c r="H10"/>
  <c r="AC10"/>
  <c r="R10"/>
  <c r="I8"/>
  <c r="AD8"/>
  <c r="S8"/>
  <c r="I12"/>
  <c r="H22"/>
  <c r="I23"/>
  <c r="G18"/>
  <c r="H26" i="17"/>
  <c r="H12"/>
  <c r="AA6" i="9"/>
  <c r="P6"/>
  <c r="H3"/>
  <c r="R3"/>
  <c r="AC3"/>
  <c r="E3" i="13"/>
  <c r="F3" s="1"/>
  <c r="G3" s="1"/>
  <c r="H3" s="1"/>
  <c r="I3" s="1"/>
  <c r="J3" s="1"/>
  <c r="K3" s="1"/>
  <c r="L3" s="1"/>
  <c r="M3" s="1"/>
  <c r="D3" i="17"/>
  <c r="E25" i="13"/>
  <c r="E34" i="17" s="1"/>
  <c r="G5" i="13"/>
  <c r="G23" s="1"/>
  <c r="F23"/>
  <c r="E23"/>
  <c r="E14"/>
  <c r="E35" i="17"/>
  <c r="E20"/>
  <c r="E21"/>
  <c r="D20"/>
  <c r="D21"/>
  <c r="F7" i="13"/>
  <c r="E6" i="17"/>
  <c r="E7"/>
  <c r="G6" i="13"/>
  <c r="G8" i="17" s="1"/>
  <c r="F24" i="13"/>
  <c r="F36" i="17" s="1"/>
  <c r="F15" i="13"/>
  <c r="F22" i="17" s="1"/>
  <c r="G14" i="13"/>
  <c r="F26"/>
  <c r="F17"/>
  <c r="C4" i="6"/>
  <c r="AC18" i="9" l="1"/>
  <c r="I24"/>
  <c r="AD24"/>
  <c r="AD22" s="1"/>
  <c r="S24"/>
  <c r="S22" s="1"/>
  <c r="R18"/>
  <c r="D23" i="17"/>
  <c r="O15" i="9"/>
  <c r="O11" s="1"/>
  <c r="D37" i="17"/>
  <c r="E9"/>
  <c r="E15" i="9"/>
  <c r="E11" s="1"/>
  <c r="AA15"/>
  <c r="AA11" s="1"/>
  <c r="E37" i="17"/>
  <c r="P15" i="9"/>
  <c r="P11" s="1"/>
  <c r="E23" i="17"/>
  <c r="I10"/>
  <c r="H24"/>
  <c r="AE23" i="9"/>
  <c r="T23"/>
  <c r="J21"/>
  <c r="AE21"/>
  <c r="T21"/>
  <c r="I20"/>
  <c r="AD20"/>
  <c r="S20"/>
  <c r="AE12"/>
  <c r="T12"/>
  <c r="I24" i="17" s="1"/>
  <c r="K13" i="9"/>
  <c r="AF13"/>
  <c r="U13"/>
  <c r="AD14"/>
  <c r="S14"/>
  <c r="I14"/>
  <c r="AD7"/>
  <c r="S7"/>
  <c r="I7"/>
  <c r="I10"/>
  <c r="AD10"/>
  <c r="S10"/>
  <c r="J8"/>
  <c r="AE8"/>
  <c r="T8"/>
  <c r="J12"/>
  <c r="I22"/>
  <c r="J23"/>
  <c r="H18"/>
  <c r="D4"/>
  <c r="H5" i="13"/>
  <c r="I5" s="1"/>
  <c r="I14" s="1"/>
  <c r="Q6" i="9"/>
  <c r="AB6"/>
  <c r="O4"/>
  <c r="Z15"/>
  <c r="Z11" s="1"/>
  <c r="D17" i="17"/>
  <c r="D31" s="1"/>
  <c r="E3"/>
  <c r="I3" i="9"/>
  <c r="AD3"/>
  <c r="S3"/>
  <c r="F7" i="17"/>
  <c r="F6"/>
  <c r="F25" i="13"/>
  <c r="G7"/>
  <c r="F16"/>
  <c r="I23"/>
  <c r="J5"/>
  <c r="G24"/>
  <c r="G36" i="17" s="1"/>
  <c r="G15" i="13"/>
  <c r="G22" i="17" s="1"/>
  <c r="H6" i="13"/>
  <c r="H8" i="17" s="1"/>
  <c r="G26" i="13"/>
  <c r="G17"/>
  <c r="H14"/>
  <c r="AD18" i="9" l="1"/>
  <c r="J24"/>
  <c r="AE24"/>
  <c r="AE22" s="1"/>
  <c r="T24"/>
  <c r="S18"/>
  <c r="T22"/>
  <c r="G9" i="17"/>
  <c r="F9"/>
  <c r="F15" i="9"/>
  <c r="F11" s="1"/>
  <c r="I38" i="17"/>
  <c r="Q15" i="9"/>
  <c r="Q11" s="1"/>
  <c r="F23" i="17"/>
  <c r="AB15" i="9"/>
  <c r="AB11" s="1"/>
  <c r="F37" i="17"/>
  <c r="J10"/>
  <c r="U23" i="9"/>
  <c r="AF23"/>
  <c r="K21"/>
  <c r="AF21"/>
  <c r="U21"/>
  <c r="J20"/>
  <c r="AE20"/>
  <c r="T20"/>
  <c r="T18" s="1"/>
  <c r="AF12"/>
  <c r="U12"/>
  <c r="L13"/>
  <c r="AG13"/>
  <c r="V13"/>
  <c r="AE14"/>
  <c r="T14"/>
  <c r="J14"/>
  <c r="AE7"/>
  <c r="T7"/>
  <c r="J7"/>
  <c r="J10"/>
  <c r="AE10"/>
  <c r="T10"/>
  <c r="K8"/>
  <c r="AF8"/>
  <c r="U8"/>
  <c r="K12"/>
  <c r="J22"/>
  <c r="K23"/>
  <c r="H9" i="17"/>
  <c r="I18" i="9"/>
  <c r="H23" i="13"/>
  <c r="E5" i="17"/>
  <c r="E4" i="9"/>
  <c r="D33" i="17"/>
  <c r="D19"/>
  <c r="R6" i="9"/>
  <c r="AC6"/>
  <c r="J3"/>
  <c r="AE3"/>
  <c r="T3"/>
  <c r="F3" i="17"/>
  <c r="E17"/>
  <c r="E31" s="1"/>
  <c r="G6"/>
  <c r="G7"/>
  <c r="G25" i="13"/>
  <c r="H7"/>
  <c r="G16"/>
  <c r="I6"/>
  <c r="I8" i="17" s="1"/>
  <c r="F20"/>
  <c r="F21"/>
  <c r="F34"/>
  <c r="F35"/>
  <c r="K5" i="13"/>
  <c r="J23"/>
  <c r="J14"/>
  <c r="H24"/>
  <c r="H36" i="17" s="1"/>
  <c r="H15" i="13"/>
  <c r="H22" i="17" s="1"/>
  <c r="H26" i="13"/>
  <c r="H17"/>
  <c r="G15" i="9" l="1"/>
  <c r="G11" s="1"/>
  <c r="J38" i="17"/>
  <c r="K24" i="9"/>
  <c r="AF24"/>
  <c r="U24"/>
  <c r="U22" s="1"/>
  <c r="AE18"/>
  <c r="AF22"/>
  <c r="H15"/>
  <c r="H11" s="1"/>
  <c r="AC15"/>
  <c r="AC11" s="1"/>
  <c r="G37" i="17"/>
  <c r="R15" i="9"/>
  <c r="R11" s="1"/>
  <c r="G23" i="17"/>
  <c r="J24"/>
  <c r="K10"/>
  <c r="AG23" i="9"/>
  <c r="V23"/>
  <c r="L21"/>
  <c r="AG21"/>
  <c r="V21"/>
  <c r="K20"/>
  <c r="AF20"/>
  <c r="AF18" s="1"/>
  <c r="U20"/>
  <c r="AG12"/>
  <c r="K38" i="17" s="1"/>
  <c r="V12" i="9"/>
  <c r="K24" i="17" s="1"/>
  <c r="M13" i="9"/>
  <c r="AH13"/>
  <c r="W13"/>
  <c r="AF14"/>
  <c r="U14"/>
  <c r="K14"/>
  <c r="AF7"/>
  <c r="U7"/>
  <c r="K7"/>
  <c r="K10"/>
  <c r="AF10"/>
  <c r="U10"/>
  <c r="L8"/>
  <c r="AG8"/>
  <c r="V8"/>
  <c r="L12"/>
  <c r="K22"/>
  <c r="L23"/>
  <c r="I9" i="17"/>
  <c r="J18" i="9"/>
  <c r="F5" i="17"/>
  <c r="F4" i="9"/>
  <c r="E19" i="17"/>
  <c r="E33"/>
  <c r="AD6" i="9"/>
  <c r="J6" i="13"/>
  <c r="J8" i="17" s="1"/>
  <c r="S6" i="9"/>
  <c r="P4"/>
  <c r="G3" i="17"/>
  <c r="F17"/>
  <c r="F31" s="1"/>
  <c r="K3" i="9"/>
  <c r="AF3"/>
  <c r="U3"/>
  <c r="I15" i="13"/>
  <c r="I22" i="17" s="1"/>
  <c r="I24" i="13"/>
  <c r="I36" i="17" s="1"/>
  <c r="G20"/>
  <c r="G21"/>
  <c r="G34"/>
  <c r="G35"/>
  <c r="I7" i="13"/>
  <c r="H7" i="17"/>
  <c r="H6"/>
  <c r="H25" i="13"/>
  <c r="H16"/>
  <c r="D5" i="17"/>
  <c r="L5" i="13"/>
  <c r="K23"/>
  <c r="K14"/>
  <c r="I26"/>
  <c r="I17"/>
  <c r="K6"/>
  <c r="K8" i="17" s="1"/>
  <c r="J15" i="13"/>
  <c r="J22" i="17" s="1"/>
  <c r="U18" i="9" l="1"/>
  <c r="L24"/>
  <c r="AG24"/>
  <c r="AG22" s="1"/>
  <c r="V24"/>
  <c r="V22" s="1"/>
  <c r="I15"/>
  <c r="I11" s="1"/>
  <c r="S15"/>
  <c r="S11" s="1"/>
  <c r="H23" i="17"/>
  <c r="AD15" i="9"/>
  <c r="AD11" s="1"/>
  <c r="H37" i="17"/>
  <c r="L10"/>
  <c r="W23" i="9"/>
  <c r="AH23"/>
  <c r="M21"/>
  <c r="AH21"/>
  <c r="W21"/>
  <c r="L20"/>
  <c r="AG20"/>
  <c r="V20"/>
  <c r="AH12"/>
  <c r="W12"/>
  <c r="AI13"/>
  <c r="X13"/>
  <c r="AG14"/>
  <c r="V14"/>
  <c r="L14"/>
  <c r="AG7"/>
  <c r="V7"/>
  <c r="L7"/>
  <c r="L10"/>
  <c r="AG10"/>
  <c r="V10"/>
  <c r="M8"/>
  <c r="AH8"/>
  <c r="W8"/>
  <c r="M12"/>
  <c r="L22"/>
  <c r="M23"/>
  <c r="J9" i="17"/>
  <c r="F19"/>
  <c r="Q4" i="9"/>
  <c r="K18"/>
  <c r="F33" i="17"/>
  <c r="J24" i="13"/>
  <c r="J36" i="17" s="1"/>
  <c r="G5"/>
  <c r="G4" i="9"/>
  <c r="T6"/>
  <c r="AE6"/>
  <c r="L3"/>
  <c r="V3"/>
  <c r="AG3"/>
  <c r="H3" i="17"/>
  <c r="G17"/>
  <c r="G31" s="1"/>
  <c r="H34"/>
  <c r="H35"/>
  <c r="H20"/>
  <c r="H21"/>
  <c r="I6"/>
  <c r="I7"/>
  <c r="J7" i="13"/>
  <c r="I16"/>
  <c r="I25"/>
  <c r="J26"/>
  <c r="J17"/>
  <c r="L6"/>
  <c r="L8" i="17" s="1"/>
  <c r="K24" i="13"/>
  <c r="K36" i="17" s="1"/>
  <c r="K15" i="13"/>
  <c r="K22" i="17" s="1"/>
  <c r="M5" i="13"/>
  <c r="L23"/>
  <c r="L14"/>
  <c r="AG18" i="9" l="1"/>
  <c r="L24" i="17"/>
  <c r="M24" i="9"/>
  <c r="AH24"/>
  <c r="AH22" s="1"/>
  <c r="W24"/>
  <c r="W22" s="1"/>
  <c r="V18"/>
  <c r="L38" i="17"/>
  <c r="J15" i="9"/>
  <c r="J11" s="1"/>
  <c r="M10" i="17"/>
  <c r="M22" i="9"/>
  <c r="AI23"/>
  <c r="X23"/>
  <c r="AI21"/>
  <c r="X21"/>
  <c r="M20"/>
  <c r="AH20"/>
  <c r="W20"/>
  <c r="AI12"/>
  <c r="X12"/>
  <c r="AH14"/>
  <c r="W14"/>
  <c r="M14"/>
  <c r="AH7"/>
  <c r="W7"/>
  <c r="M7"/>
  <c r="M10"/>
  <c r="AH10"/>
  <c r="W10"/>
  <c r="AI8"/>
  <c r="X8"/>
  <c r="AF6"/>
  <c r="U6"/>
  <c r="K9" i="17"/>
  <c r="G19"/>
  <c r="G33"/>
  <c r="L18" i="9"/>
  <c r="H5" i="17"/>
  <c r="H4" i="9"/>
  <c r="Z4"/>
  <c r="AG6"/>
  <c r="R4"/>
  <c r="I3" i="17"/>
  <c r="H17"/>
  <c r="H31" s="1"/>
  <c r="M3" i="9"/>
  <c r="AH3"/>
  <c r="W3"/>
  <c r="I34" i="17"/>
  <c r="I35"/>
  <c r="J7"/>
  <c r="J6"/>
  <c r="J25" i="13"/>
  <c r="K7"/>
  <c r="J16"/>
  <c r="I20" i="17"/>
  <c r="I21"/>
  <c r="M23" i="13"/>
  <c r="M14"/>
  <c r="K26"/>
  <c r="K17"/>
  <c r="M6"/>
  <c r="M8" i="17" s="1"/>
  <c r="L24" i="13"/>
  <c r="L36" i="17" s="1"/>
  <c r="L15" i="13"/>
  <c r="L22" i="17" s="1"/>
  <c r="V6" i="9" l="1"/>
  <c r="M38" i="17"/>
  <c r="AH18" i="9"/>
  <c r="W18"/>
  <c r="AI24"/>
  <c r="AI22" s="1"/>
  <c r="X24"/>
  <c r="X22" s="1"/>
  <c r="K15"/>
  <c r="K11" s="1"/>
  <c r="T15"/>
  <c r="T11" s="1"/>
  <c r="I23" i="17"/>
  <c r="AE15" i="9"/>
  <c r="AE11" s="1"/>
  <c r="I37" i="17"/>
  <c r="V15" i="9"/>
  <c r="V11" s="1"/>
  <c r="K23" i="17"/>
  <c r="AG15" i="9"/>
  <c r="AG11" s="1"/>
  <c r="K37" i="17"/>
  <c r="U15" i="9"/>
  <c r="U11" s="1"/>
  <c r="J23" i="17"/>
  <c r="AF15" i="9"/>
  <c r="AF11" s="1"/>
  <c r="J37" i="17"/>
  <c r="M24"/>
  <c r="AI20" i="9"/>
  <c r="X20"/>
  <c r="AI14"/>
  <c r="X14"/>
  <c r="AI7"/>
  <c r="X7"/>
  <c r="AI10"/>
  <c r="X10"/>
  <c r="L9" i="17"/>
  <c r="H33"/>
  <c r="M18" i="9"/>
  <c r="I5" i="17"/>
  <c r="AA4" i="9"/>
  <c r="AH6"/>
  <c r="W6"/>
  <c r="I4"/>
  <c r="H19" i="17"/>
  <c r="S4" i="9"/>
  <c r="J3" i="17"/>
  <c r="I17"/>
  <c r="I31" s="1"/>
  <c r="AI3" i="9"/>
  <c r="X3"/>
  <c r="J20" i="17"/>
  <c r="J21"/>
  <c r="J34"/>
  <c r="J35"/>
  <c r="K6"/>
  <c r="K7"/>
  <c r="L7" i="13"/>
  <c r="K16"/>
  <c r="K25"/>
  <c r="L26"/>
  <c r="L17"/>
  <c r="M24"/>
  <c r="M36" i="17" s="1"/>
  <c r="M15" i="13"/>
  <c r="M22" i="17" s="1"/>
  <c r="AI18" i="9" l="1"/>
  <c r="X18"/>
  <c r="L15"/>
  <c r="L11" s="1"/>
  <c r="W15"/>
  <c r="W11" s="1"/>
  <c r="L23" i="17"/>
  <c r="AH15" i="9"/>
  <c r="AH11" s="1"/>
  <c r="L37" i="17"/>
  <c r="M9"/>
  <c r="I19"/>
  <c r="I33"/>
  <c r="J5"/>
  <c r="AB4" i="9"/>
  <c r="AI6"/>
  <c r="X6"/>
  <c r="T4"/>
  <c r="J4"/>
  <c r="K3" i="17"/>
  <c r="J17"/>
  <c r="J31" s="1"/>
  <c r="K34"/>
  <c r="K35"/>
  <c r="L7"/>
  <c r="L6"/>
  <c r="L25" i="13"/>
  <c r="M7"/>
  <c r="L16"/>
  <c r="K20" i="17"/>
  <c r="K21"/>
  <c r="M26" i="13"/>
  <c r="M17"/>
  <c r="M15" i="9" l="1"/>
  <c r="M11" s="1"/>
  <c r="X15"/>
  <c r="X11" s="1"/>
  <c r="M23" i="17"/>
  <c r="AI15" i="9"/>
  <c r="AI11" s="1"/>
  <c r="M37" i="17"/>
  <c r="J33"/>
  <c r="J19"/>
  <c r="K5"/>
  <c r="K4" i="9"/>
  <c r="AC4"/>
  <c r="U4"/>
  <c r="L3" i="17"/>
  <c r="K17"/>
  <c r="K31" s="1"/>
  <c r="L20"/>
  <c r="L21"/>
  <c r="L34"/>
  <c r="L35"/>
  <c r="M7"/>
  <c r="M6"/>
  <c r="M25" i="13"/>
  <c r="M16"/>
  <c r="K19" i="17" l="1"/>
  <c r="V4" i="9"/>
  <c r="K33" i="17"/>
  <c r="L5"/>
  <c r="L4" i="9"/>
  <c r="AD4"/>
  <c r="M3" i="17"/>
  <c r="M17" s="1"/>
  <c r="M31" s="1"/>
  <c r="L17"/>
  <c r="L31" s="1"/>
  <c r="M21"/>
  <c r="M20"/>
  <c r="M5"/>
  <c r="N5" s="1"/>
  <c r="M34"/>
  <c r="M35"/>
  <c r="L19" l="1"/>
  <c r="L33"/>
  <c r="AE4" i="9"/>
  <c r="M4"/>
  <c r="W4"/>
  <c r="D12" i="17"/>
  <c r="D14" s="1"/>
  <c r="E8" i="21" s="1"/>
  <c r="M33" i="17" l="1"/>
  <c r="N33" s="1"/>
  <c r="M19"/>
  <c r="N19" s="1"/>
  <c r="D26" s="1"/>
  <c r="D28" s="1"/>
  <c r="E9" i="21" s="1"/>
  <c r="AF4" i="9"/>
  <c r="X4"/>
  <c r="D40" i="17" l="1"/>
  <c r="D42" s="1"/>
  <c r="E10" i="21" s="1"/>
  <c r="AG4" i="9"/>
  <c r="AI4" l="1"/>
  <c r="AH4"/>
</calcChain>
</file>

<file path=xl/sharedStrings.xml><?xml version="1.0" encoding="utf-8"?>
<sst xmlns="http://schemas.openxmlformats.org/spreadsheetml/2006/main" count="196" uniqueCount="105">
  <si>
    <t>PER</t>
  </si>
  <si>
    <t>WACC</t>
  </si>
  <si>
    <t>FCF</t>
  </si>
  <si>
    <t>VR</t>
  </si>
  <si>
    <t>ACTIVO</t>
  </si>
  <si>
    <t>Amortizaciones</t>
  </si>
  <si>
    <t>Existencias</t>
  </si>
  <si>
    <t>Efectivo y otros medios líquidos</t>
  </si>
  <si>
    <t>PASSIVO + NETO</t>
  </si>
  <si>
    <t>Patrimonio neto</t>
  </si>
  <si>
    <t>Importe neto cifra de negocio</t>
  </si>
  <si>
    <t>Resultado de explotación</t>
  </si>
  <si>
    <t>Beneficio neto</t>
  </si>
  <si>
    <t>Criterio</t>
  </si>
  <si>
    <t>Ventas anuales</t>
  </si>
  <si>
    <t>FCF optimista</t>
  </si>
  <si>
    <t>FCF pesimista</t>
  </si>
  <si>
    <t>Deterioro créditos comerciales</t>
  </si>
  <si>
    <t>Ajustes</t>
  </si>
  <si>
    <t>Inversiones inmobiliarias</t>
  </si>
  <si>
    <t>Deudores comerciales y otras cuentas a cobrar</t>
  </si>
  <si>
    <t>Inversiones financieras a c/p</t>
  </si>
  <si>
    <t>Acreedores comerciales y otras cuentas a pagar</t>
  </si>
  <si>
    <t>Revalorización o pérdida de valor</t>
  </si>
  <si>
    <t>Ajuste valor existencias reales</t>
  </si>
  <si>
    <t>Balances de situación</t>
  </si>
  <si>
    <t>Previsión para los próximos años</t>
  </si>
  <si>
    <t>Supuestos previos a la valoración</t>
  </si>
  <si>
    <t xml:space="preserve"> + Amortizaciones</t>
  </si>
  <si>
    <t xml:space="preserve"> +/- Variación capital de trabajo</t>
  </si>
  <si>
    <t xml:space="preserve"> +/- Inversiones inmovilizado</t>
  </si>
  <si>
    <t xml:space="preserve"> - Valor deuda</t>
  </si>
  <si>
    <t>Ventas</t>
  </si>
  <si>
    <t>Múltiplos comparables</t>
  </si>
  <si>
    <t>Dotación amortización</t>
  </si>
  <si>
    <t>Resultado explotación</t>
  </si>
  <si>
    <t>Activo no corriente</t>
  </si>
  <si>
    <t>Inmovilizado intangible</t>
  </si>
  <si>
    <t>Inmovilizado material</t>
  </si>
  <si>
    <t>Activo corriente</t>
  </si>
  <si>
    <t>Pasivo no corriente</t>
  </si>
  <si>
    <t>Pasivo corriente</t>
  </si>
  <si>
    <t>Flujos de caja</t>
  </si>
  <si>
    <t>Free cash flow</t>
  </si>
  <si>
    <t>Valor actual FCF</t>
  </si>
  <si>
    <t>Valor empresa</t>
  </si>
  <si>
    <t>Cash flow optimista</t>
  </si>
  <si>
    <t>Valor actual FCF optimista</t>
  </si>
  <si>
    <t>Cash flow pesimista</t>
  </si>
  <si>
    <t>Valor actual FCF pesimista</t>
  </si>
  <si>
    <t>Múltiplos sector</t>
  </si>
  <si>
    <t>Valor contable</t>
  </si>
  <si>
    <t>Valor contable ajustado</t>
  </si>
  <si>
    <t xml:space="preserve"> - Impuestos s/ BAII</t>
  </si>
  <si>
    <t xml:space="preserve"> - Impuestos s/BAII</t>
  </si>
  <si>
    <t>Beneficio</t>
  </si>
  <si>
    <t>Clientes</t>
  </si>
  <si>
    <t>Dividendos</t>
  </si>
  <si>
    <t>Inmovilizado Material</t>
  </si>
  <si>
    <t>Inmovilizado Intangible</t>
  </si>
  <si>
    <t>Empresa</t>
  </si>
  <si>
    <t>Elaborado por</t>
  </si>
  <si>
    <t>Modificables</t>
  </si>
  <si>
    <t>Fórmula propuesta</t>
  </si>
  <si>
    <t>Variables flujos de caja</t>
  </si>
  <si>
    <t>Último ejercicio cerrado</t>
  </si>
  <si>
    <t>Inmovilizado material en curso</t>
  </si>
  <si>
    <t>Amortización Acumulada</t>
  </si>
  <si>
    <t>Sintetizado</t>
  </si>
  <si>
    <t>Euros</t>
  </si>
  <si>
    <t>Miles de Euros</t>
  </si>
  <si>
    <t>Normal</t>
  </si>
  <si>
    <t>Millones de Euros</t>
  </si>
  <si>
    <t>2008</t>
  </si>
  <si>
    <t>Años proyectados</t>
  </si>
  <si>
    <t>Formato cuentas anuales</t>
  </si>
  <si>
    <t>PASIVO + NETO</t>
  </si>
  <si>
    <t>Otros pasivos corrientes</t>
  </si>
  <si>
    <t>Otros activos corrientes</t>
  </si>
  <si>
    <t>Otros activos no corrientes</t>
  </si>
  <si>
    <t>Fecha elaboración de la valoración</t>
  </si>
  <si>
    <t>Unidades en que se presenta el estudio</t>
  </si>
  <si>
    <t>Leyenda: 
Las celdas con los números en azul son las modificables por el usuario.
Las celdas con los números en negro, tienen una fórmula propuesta.</t>
  </si>
  <si>
    <t xml:space="preserve">Variación anual prevista para las cuentas de P y G </t>
  </si>
  <si>
    <t>Variación anual prevista para las cuentas de activo</t>
  </si>
  <si>
    <t>Variación anual prevista para las cuentas de patrimonio neto y pasivo</t>
  </si>
  <si>
    <t>Desviación de las previsiones en un escenario optimista para las cuentas de P Y G</t>
  </si>
  <si>
    <t>Desviación de las previsiones en un escenario pesimista para las cuentas de P Y G</t>
  </si>
  <si>
    <t>Desviación de las previsiones en un escenario optimista para las cuentas de balance</t>
  </si>
  <si>
    <t>Impuesto de sociedades</t>
  </si>
  <si>
    <t>Tasa crecimiento perpetuo a partir del último año proyectado</t>
  </si>
  <si>
    <t>Rentabilidad deseada por el accionista</t>
  </si>
  <si>
    <t>Coste deuda financiera</t>
  </si>
  <si>
    <t>Valor empresa / Ventas</t>
  </si>
  <si>
    <t>Valor empresa / Resultado explotación</t>
  </si>
  <si>
    <t>PER (Valor empresa / Beneficio)</t>
  </si>
  <si>
    <t>Previsión escenario optimista</t>
  </si>
  <si>
    <t>Previsión escenario pesimista</t>
  </si>
  <si>
    <t>Cuenta de pérdidas y ganancias</t>
  </si>
  <si>
    <t>Cuenta de pérdidas y ganancias, escenario optimista</t>
  </si>
  <si>
    <t>Cuenta de pérdidas y ganancias, escenario pesimista</t>
  </si>
  <si>
    <t>Parque familiar</t>
  </si>
  <si>
    <t>Quico Marin</t>
  </si>
  <si>
    <t>Ajuste de valor real</t>
  </si>
  <si>
    <t>Desviación de las previsiones en un escenario pesimista para las cuentas de balance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</si>
</sst>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indexed="8"/>
      <name val="Arial"/>
      <family val="2"/>
    </font>
    <font>
      <b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i/>
      <sz val="9"/>
      <name val="Calibri"/>
      <family val="2"/>
      <scheme val="minor"/>
    </font>
    <font>
      <b/>
      <sz val="9"/>
      <color rgb="FF0070C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indexed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1F117"/>
        <bgColor indexed="64"/>
      </patternFill>
    </fill>
    <fill>
      <patternFill patternType="solid">
        <fgColor rgb="FFFFFF66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83">
    <xf numFmtId="0" fontId="0" fillId="0" borderId="0" xfId="0"/>
    <xf numFmtId="0" fontId="0" fillId="0" borderId="2" xfId="0" applyBorder="1"/>
    <xf numFmtId="0" fontId="0" fillId="0" borderId="6" xfId="0" applyBorder="1"/>
    <xf numFmtId="0" fontId="0" fillId="0" borderId="8" xfId="0" applyBorder="1"/>
    <xf numFmtId="0" fontId="1" fillId="2" borderId="3" xfId="0" applyFont="1" applyFill="1" applyBorder="1" applyAlignment="1">
      <alignment horizontal="center"/>
    </xf>
    <xf numFmtId="0" fontId="0" fillId="7" borderId="12" xfId="0" applyFill="1" applyBorder="1"/>
    <xf numFmtId="0" fontId="0" fillId="7" borderId="13" xfId="0" applyFill="1" applyBorder="1"/>
    <xf numFmtId="0" fontId="0" fillId="7" borderId="14" xfId="0" applyFill="1" applyBorder="1"/>
    <xf numFmtId="0" fontId="0" fillId="7" borderId="15" xfId="0" applyFill="1" applyBorder="1"/>
    <xf numFmtId="0" fontId="0" fillId="7" borderId="0" xfId="0" applyFill="1" applyBorder="1"/>
    <xf numFmtId="0" fontId="0" fillId="7" borderId="16" xfId="0" applyFill="1" applyBorder="1"/>
    <xf numFmtId="0" fontId="0" fillId="7" borderId="17" xfId="0" applyFill="1" applyBorder="1"/>
    <xf numFmtId="0" fontId="0" fillId="7" borderId="18" xfId="0" applyFill="1" applyBorder="1"/>
    <xf numFmtId="0" fontId="0" fillId="7" borderId="19" xfId="0" applyFill="1" applyBorder="1"/>
    <xf numFmtId="43" fontId="0" fillId="0" borderId="2" xfId="0" applyNumberFormat="1" applyBorder="1"/>
    <xf numFmtId="43" fontId="0" fillId="0" borderId="7" xfId="0" applyNumberFormat="1" applyBorder="1"/>
    <xf numFmtId="0" fontId="8" fillId="4" borderId="1" xfId="0" applyFont="1" applyFill="1" applyBorder="1" applyAlignment="1">
      <alignment vertical="center"/>
    </xf>
    <xf numFmtId="4" fontId="0" fillId="7" borderId="12" xfId="0" applyNumberFormat="1" applyFill="1" applyBorder="1"/>
    <xf numFmtId="4" fontId="0" fillId="7" borderId="13" xfId="0" applyNumberFormat="1" applyFill="1" applyBorder="1"/>
    <xf numFmtId="4" fontId="0" fillId="7" borderId="14" xfId="0" applyNumberFormat="1" applyFill="1" applyBorder="1"/>
    <xf numFmtId="4" fontId="0" fillId="0" borderId="0" xfId="0" applyNumberFormat="1"/>
    <xf numFmtId="4" fontId="0" fillId="7" borderId="15" xfId="0" applyNumberFormat="1" applyFill="1" applyBorder="1"/>
    <xf numFmtId="4" fontId="0" fillId="7" borderId="0" xfId="0" applyNumberFormat="1" applyFill="1" applyBorder="1"/>
    <xf numFmtId="4" fontId="0" fillId="7" borderId="16" xfId="0" applyNumberFormat="1" applyFill="1" applyBorder="1"/>
    <xf numFmtId="4" fontId="0" fillId="0" borderId="24" xfId="0" applyNumberFormat="1" applyBorder="1"/>
    <xf numFmtId="4" fontId="0" fillId="0" borderId="25" xfId="0" applyNumberFormat="1" applyBorder="1"/>
    <xf numFmtId="4" fontId="1" fillId="8" borderId="1" xfId="1" applyNumberFormat="1" applyFont="1" applyFill="1" applyBorder="1"/>
    <xf numFmtId="4" fontId="1" fillId="2" borderId="1" xfId="0" applyNumberFormat="1" applyFont="1" applyFill="1" applyBorder="1"/>
    <xf numFmtId="4" fontId="0" fillId="7" borderId="17" xfId="0" applyNumberFormat="1" applyFill="1" applyBorder="1"/>
    <xf numFmtId="4" fontId="0" fillId="7" borderId="18" xfId="0" applyNumberFormat="1" applyFill="1" applyBorder="1"/>
    <xf numFmtId="4" fontId="0" fillId="7" borderId="19" xfId="0" applyNumberFormat="1" applyFill="1" applyBorder="1"/>
    <xf numFmtId="4" fontId="5" fillId="4" borderId="1" xfId="0" applyNumberFormat="1" applyFont="1" applyFill="1" applyBorder="1"/>
    <xf numFmtId="4" fontId="0" fillId="0" borderId="3" xfId="0" applyNumberFormat="1" applyBorder="1"/>
    <xf numFmtId="4" fontId="6" fillId="0" borderId="4" xfId="0" applyNumberFormat="1" applyFont="1" applyBorder="1"/>
    <xf numFmtId="4" fontId="0" fillId="0" borderId="4" xfId="0" applyNumberFormat="1" applyFont="1" applyBorder="1"/>
    <xf numFmtId="4" fontId="0" fillId="0" borderId="5" xfId="0" applyNumberFormat="1" applyFont="1" applyBorder="1"/>
    <xf numFmtId="4" fontId="0" fillId="0" borderId="6" xfId="0" applyNumberFormat="1" applyBorder="1"/>
    <xf numFmtId="4" fontId="6" fillId="0" borderId="2" xfId="0" applyNumberFormat="1" applyFont="1" applyBorder="1"/>
    <xf numFmtId="4" fontId="0" fillId="0" borderId="2" xfId="0" applyNumberFormat="1" applyFont="1" applyBorder="1"/>
    <xf numFmtId="4" fontId="0" fillId="0" borderId="7" xfId="0" applyNumberFormat="1" applyFont="1" applyBorder="1"/>
    <xf numFmtId="4" fontId="1" fillId="2" borderId="6" xfId="0" applyNumberFormat="1" applyFont="1" applyFill="1" applyBorder="1"/>
    <xf numFmtId="4" fontId="7" fillId="2" borderId="2" xfId="0" applyNumberFormat="1" applyFont="1" applyFill="1" applyBorder="1"/>
    <xf numFmtId="4" fontId="1" fillId="2" borderId="2" xfId="0" applyNumberFormat="1" applyFont="1" applyFill="1" applyBorder="1"/>
    <xf numFmtId="4" fontId="1" fillId="2" borderId="7" xfId="0" applyNumberFormat="1" applyFont="1" applyFill="1" applyBorder="1"/>
    <xf numFmtId="4" fontId="1" fillId="2" borderId="8" xfId="0" applyNumberFormat="1" applyFont="1" applyFill="1" applyBorder="1"/>
    <xf numFmtId="4" fontId="7" fillId="2" borderId="9" xfId="0" applyNumberFormat="1" applyFont="1" applyFill="1" applyBorder="1"/>
    <xf numFmtId="4" fontId="1" fillId="2" borderId="9" xfId="0" applyNumberFormat="1" applyFont="1" applyFill="1" applyBorder="1"/>
    <xf numFmtId="4" fontId="1" fillId="2" borderId="10" xfId="0" applyNumberFormat="1" applyFont="1" applyFill="1" applyBorder="1"/>
    <xf numFmtId="4" fontId="0" fillId="0" borderId="4" xfId="0" applyNumberFormat="1" applyBorder="1"/>
    <xf numFmtId="4" fontId="0" fillId="0" borderId="5" xfId="0" applyNumberFormat="1" applyBorder="1"/>
    <xf numFmtId="4" fontId="0" fillId="0" borderId="2" xfId="0" applyNumberFormat="1" applyBorder="1"/>
    <xf numFmtId="4" fontId="0" fillId="0" borderId="7" xfId="0" applyNumberFormat="1" applyBorder="1"/>
    <xf numFmtId="4" fontId="1" fillId="3" borderId="3" xfId="0" applyNumberFormat="1" applyFont="1" applyFill="1" applyBorder="1"/>
    <xf numFmtId="4" fontId="1" fillId="3" borderId="5" xfId="0" applyNumberFormat="1" applyFont="1" applyFill="1" applyBorder="1"/>
    <xf numFmtId="4" fontId="3" fillId="0" borderId="6" xfId="0" applyNumberFormat="1" applyFont="1" applyBorder="1"/>
    <xf numFmtId="4" fontId="1" fillId="0" borderId="7" xfId="0" applyNumberFormat="1" applyFont="1" applyBorder="1"/>
    <xf numFmtId="4" fontId="1" fillId="3" borderId="6" xfId="0" applyNumberFormat="1" applyFont="1" applyFill="1" applyBorder="1"/>
    <xf numFmtId="4" fontId="1" fillId="3" borderId="7" xfId="0" applyNumberFormat="1" applyFont="1" applyFill="1" applyBorder="1"/>
    <xf numFmtId="4" fontId="1" fillId="0" borderId="8" xfId="0" applyNumberFormat="1" applyFont="1" applyBorder="1"/>
    <xf numFmtId="4" fontId="1" fillId="0" borderId="10" xfId="0" applyNumberFormat="1" applyFont="1" applyBorder="1"/>
    <xf numFmtId="4" fontId="1" fillId="3" borderId="4" xfId="0" applyNumberFormat="1" applyFont="1" applyFill="1" applyBorder="1"/>
    <xf numFmtId="4" fontId="1" fillId="0" borderId="2" xfId="0" applyNumberFormat="1" applyFont="1" applyBorder="1"/>
    <xf numFmtId="4" fontId="1" fillId="3" borderId="2" xfId="0" applyNumberFormat="1" applyFont="1" applyFill="1" applyBorder="1"/>
    <xf numFmtId="4" fontId="3" fillId="0" borderId="8" xfId="0" applyNumberFormat="1" applyFont="1" applyBorder="1"/>
    <xf numFmtId="4" fontId="1" fillId="0" borderId="9" xfId="0" applyNumberFormat="1" applyFont="1" applyBorder="1"/>
    <xf numFmtId="4" fontId="1" fillId="2" borderId="20" xfId="0" applyNumberFormat="1" applyFont="1" applyFill="1" applyBorder="1"/>
    <xf numFmtId="4" fontId="7" fillId="0" borderId="2" xfId="0" applyNumberFormat="1" applyFont="1" applyBorder="1"/>
    <xf numFmtId="4" fontId="1" fillId="0" borderId="6" xfId="0" applyNumberFormat="1" applyFont="1" applyBorder="1"/>
    <xf numFmtId="4" fontId="7" fillId="0" borderId="11" xfId="0" applyNumberFormat="1" applyFont="1" applyBorder="1"/>
    <xf numFmtId="4" fontId="7" fillId="0" borderId="9" xfId="0" applyNumberFormat="1" applyFont="1" applyBorder="1"/>
    <xf numFmtId="4" fontId="0" fillId="0" borderId="33" xfId="0" applyNumberFormat="1" applyBorder="1"/>
    <xf numFmtId="4" fontId="0" fillId="0" borderId="34" xfId="0" applyNumberFormat="1" applyBorder="1"/>
    <xf numFmtId="4" fontId="1" fillId="2" borderId="34" xfId="0" applyNumberFormat="1" applyFont="1" applyFill="1" applyBorder="1"/>
    <xf numFmtId="4" fontId="1" fillId="2" borderId="35" xfId="0" applyNumberFormat="1" applyFont="1" applyFill="1" applyBorder="1"/>
    <xf numFmtId="1" fontId="4" fillId="5" borderId="1" xfId="0" applyNumberFormat="1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/>
    </xf>
    <xf numFmtId="4" fontId="0" fillId="6" borderId="6" xfId="0" applyNumberFormat="1" applyFill="1" applyBorder="1" applyAlignment="1">
      <alignment horizontal="right"/>
    </xf>
    <xf numFmtId="10" fontId="9" fillId="8" borderId="1" xfId="2" applyNumberFormat="1" applyFont="1" applyFill="1" applyBorder="1"/>
    <xf numFmtId="4" fontId="3" fillId="0" borderId="6" xfId="0" applyNumberFormat="1" applyFont="1" applyBorder="1" applyAlignment="1">
      <alignment horizontal="right"/>
    </xf>
    <xf numFmtId="4" fontId="0" fillId="7" borderId="0" xfId="0" applyNumberFormat="1" applyFill="1" applyBorder="1" applyAlignment="1">
      <alignment horizontal="right"/>
    </xf>
    <xf numFmtId="49" fontId="1" fillId="2" borderId="28" xfId="0" applyNumberFormat="1" applyFont="1" applyFill="1" applyBorder="1" applyAlignment="1">
      <alignment horizontal="center"/>
    </xf>
    <xf numFmtId="4" fontId="0" fillId="7" borderId="12" xfId="0" applyNumberFormat="1" applyFont="1" applyFill="1" applyBorder="1"/>
    <xf numFmtId="4" fontId="0" fillId="7" borderId="13" xfId="0" applyNumberFormat="1" applyFont="1" applyFill="1" applyBorder="1"/>
    <xf numFmtId="4" fontId="0" fillId="7" borderId="14" xfId="0" applyNumberFormat="1" applyFont="1" applyFill="1" applyBorder="1"/>
    <xf numFmtId="4" fontId="0" fillId="0" borderId="0" xfId="0" applyNumberFormat="1" applyFont="1"/>
    <xf numFmtId="4" fontId="0" fillId="7" borderId="15" xfId="0" applyNumberFormat="1" applyFont="1" applyFill="1" applyBorder="1"/>
    <xf numFmtId="4" fontId="0" fillId="7" borderId="0" xfId="0" applyNumberFormat="1" applyFont="1" applyFill="1" applyBorder="1"/>
    <xf numFmtId="4" fontId="0" fillId="7" borderId="16" xfId="0" applyNumberFormat="1" applyFont="1" applyFill="1" applyBorder="1"/>
    <xf numFmtId="4" fontId="0" fillId="7" borderId="0" xfId="0" applyNumberFormat="1" applyFont="1" applyFill="1" applyBorder="1" applyAlignment="1">
      <alignment horizontal="right"/>
    </xf>
    <xf numFmtId="4" fontId="0" fillId="7" borderId="17" xfId="0" applyNumberFormat="1" applyFont="1" applyFill="1" applyBorder="1"/>
    <xf numFmtId="4" fontId="0" fillId="7" borderId="18" xfId="0" applyNumberFormat="1" applyFont="1" applyFill="1" applyBorder="1"/>
    <xf numFmtId="4" fontId="0" fillId="7" borderId="19" xfId="0" applyNumberFormat="1" applyFont="1" applyFill="1" applyBorder="1"/>
    <xf numFmtId="1" fontId="10" fillId="5" borderId="1" xfId="0" applyNumberFormat="1" applyFont="1" applyFill="1" applyBorder="1" applyAlignment="1">
      <alignment horizontal="center" vertical="center"/>
    </xf>
    <xf numFmtId="4" fontId="11" fillId="0" borderId="7" xfId="0" applyNumberFormat="1" applyFont="1" applyBorder="1"/>
    <xf numFmtId="4" fontId="0" fillId="6" borderId="6" xfId="0" applyNumberFormat="1" applyFont="1" applyFill="1" applyBorder="1" applyAlignment="1">
      <alignment horizontal="right"/>
    </xf>
    <xf numFmtId="4" fontId="12" fillId="6" borderId="7" xfId="0" applyNumberFormat="1" applyFont="1" applyFill="1" applyBorder="1"/>
    <xf numFmtId="4" fontId="12" fillId="6" borderId="26" xfId="0" applyNumberFormat="1" applyFont="1" applyFill="1" applyBorder="1"/>
    <xf numFmtId="4" fontId="11" fillId="0" borderId="26" xfId="0" applyNumberFormat="1" applyFont="1" applyBorder="1"/>
    <xf numFmtId="4" fontId="11" fillId="0" borderId="10" xfId="0" applyNumberFormat="1" applyFont="1" applyBorder="1"/>
    <xf numFmtId="4" fontId="3" fillId="6" borderId="6" xfId="0" applyNumberFormat="1" applyFont="1" applyFill="1" applyBorder="1"/>
    <xf numFmtId="4" fontId="1" fillId="6" borderId="7" xfId="0" applyNumberFormat="1" applyFont="1" applyFill="1" applyBorder="1"/>
    <xf numFmtId="1" fontId="10" fillId="5" borderId="32" xfId="0" applyNumberFormat="1" applyFont="1" applyFill="1" applyBorder="1" applyAlignment="1">
      <alignment horizontal="center" vertical="center" wrapText="1"/>
    </xf>
    <xf numFmtId="0" fontId="14" fillId="8" borderId="22" xfId="0" applyFont="1" applyFill="1" applyBorder="1" applyAlignment="1">
      <alignment horizontal="center"/>
    </xf>
    <xf numFmtId="0" fontId="1" fillId="9" borderId="1" xfId="0" applyFont="1" applyFill="1" applyBorder="1"/>
    <xf numFmtId="0" fontId="0" fillId="0" borderId="13" xfId="0" applyBorder="1"/>
    <xf numFmtId="0" fontId="0" fillId="0" borderId="0" xfId="0" applyBorder="1"/>
    <xf numFmtId="0" fontId="0" fillId="10" borderId="12" xfId="0" applyFill="1" applyBorder="1"/>
    <xf numFmtId="0" fontId="0" fillId="10" borderId="13" xfId="0" applyFill="1" applyBorder="1"/>
    <xf numFmtId="0" fontId="0" fillId="10" borderId="14" xfId="0" applyFill="1" applyBorder="1"/>
    <xf numFmtId="0" fontId="0" fillId="10" borderId="15" xfId="0" applyFill="1" applyBorder="1"/>
    <xf numFmtId="0" fontId="0" fillId="10" borderId="0" xfId="0" applyFill="1" applyBorder="1"/>
    <xf numFmtId="0" fontId="0" fillId="10" borderId="16" xfId="0" applyFill="1" applyBorder="1"/>
    <xf numFmtId="0" fontId="0" fillId="10" borderId="17" xfId="0" applyFill="1" applyBorder="1"/>
    <xf numFmtId="0" fontId="0" fillId="10" borderId="18" xfId="0" applyFill="1" applyBorder="1"/>
    <xf numFmtId="0" fontId="0" fillId="10" borderId="19" xfId="0" applyFill="1" applyBorder="1"/>
    <xf numFmtId="4" fontId="7" fillId="3" borderId="4" xfId="0" applyNumberFormat="1" applyFont="1" applyFill="1" applyBorder="1"/>
    <xf numFmtId="4" fontId="7" fillId="3" borderId="2" xfId="0" applyNumberFormat="1" applyFont="1" applyFill="1" applyBorder="1"/>
    <xf numFmtId="4" fontId="7" fillId="3" borderId="5" xfId="0" applyNumberFormat="1" applyFont="1" applyFill="1" applyBorder="1"/>
    <xf numFmtId="4" fontId="7" fillId="3" borderId="7" xfId="0" applyNumberFormat="1" applyFont="1" applyFill="1" applyBorder="1"/>
    <xf numFmtId="0" fontId="15" fillId="7" borderId="12" xfId="0" applyFont="1" applyFill="1" applyBorder="1"/>
    <xf numFmtId="0" fontId="15" fillId="7" borderId="13" xfId="0" applyFont="1" applyFill="1" applyBorder="1"/>
    <xf numFmtId="0" fontId="15" fillId="7" borderId="14" xfId="0" applyFont="1" applyFill="1" applyBorder="1"/>
    <xf numFmtId="0" fontId="15" fillId="0" borderId="0" xfId="0" applyFont="1"/>
    <xf numFmtId="0" fontId="15" fillId="7" borderId="15" xfId="0" applyFont="1" applyFill="1" applyBorder="1"/>
    <xf numFmtId="0" fontId="16" fillId="4" borderId="1" xfId="0" applyFont="1" applyFill="1" applyBorder="1" applyAlignment="1">
      <alignment vertical="center"/>
    </xf>
    <xf numFmtId="0" fontId="15" fillId="7" borderId="0" xfId="0" applyFont="1" applyFill="1" applyBorder="1"/>
    <xf numFmtId="0" fontId="18" fillId="8" borderId="33" xfId="0" applyFont="1" applyFill="1" applyBorder="1"/>
    <xf numFmtId="0" fontId="15" fillId="7" borderId="16" xfId="0" applyFont="1" applyFill="1" applyBorder="1"/>
    <xf numFmtId="0" fontId="19" fillId="8" borderId="35" xfId="0" applyFont="1" applyFill="1" applyBorder="1"/>
    <xf numFmtId="0" fontId="19" fillId="2" borderId="6" xfId="0" applyFont="1" applyFill="1" applyBorder="1" applyAlignment="1">
      <alignment horizontal="left"/>
    </xf>
    <xf numFmtId="0" fontId="19" fillId="2" borderId="3" xfId="0" applyFont="1" applyFill="1" applyBorder="1" applyAlignment="1">
      <alignment horizontal="left"/>
    </xf>
    <xf numFmtId="49" fontId="18" fillId="8" borderId="5" xfId="2" applyNumberFormat="1" applyFont="1" applyFill="1" applyBorder="1" applyAlignment="1">
      <alignment horizontal="right"/>
    </xf>
    <xf numFmtId="49" fontId="18" fillId="8" borderId="7" xfId="2" applyNumberFormat="1" applyFont="1" applyFill="1" applyBorder="1" applyAlignment="1">
      <alignment horizontal="right"/>
    </xf>
    <xf numFmtId="14" fontId="18" fillId="8" borderId="7" xfId="2" applyNumberFormat="1" applyFont="1" applyFill="1" applyBorder="1" applyAlignment="1">
      <alignment horizontal="right"/>
    </xf>
    <xf numFmtId="0" fontId="19" fillId="2" borderId="8" xfId="0" applyFont="1" applyFill="1" applyBorder="1" applyAlignment="1">
      <alignment horizontal="left"/>
    </xf>
    <xf numFmtId="49" fontId="18" fillId="8" borderId="10" xfId="2" applyNumberFormat="1" applyFont="1" applyFill="1" applyBorder="1" applyAlignment="1">
      <alignment horizontal="right"/>
    </xf>
    <xf numFmtId="0" fontId="15" fillId="0" borderId="2" xfId="0" applyFont="1" applyBorder="1"/>
    <xf numFmtId="4" fontId="15" fillId="0" borderId="2" xfId="0" applyNumberFormat="1" applyFont="1" applyBorder="1"/>
    <xf numFmtId="0" fontId="19" fillId="2" borderId="3" xfId="0" applyFont="1" applyFill="1" applyBorder="1"/>
    <xf numFmtId="0" fontId="19" fillId="2" borderId="30" xfId="0" applyFont="1" applyFill="1" applyBorder="1"/>
    <xf numFmtId="0" fontId="19" fillId="2" borderId="31" xfId="0" applyFont="1" applyFill="1" applyBorder="1"/>
    <xf numFmtId="0" fontId="19" fillId="2" borderId="6" xfId="0" applyFont="1" applyFill="1" applyBorder="1"/>
    <xf numFmtId="0" fontId="18" fillId="8" borderId="2" xfId="0" applyFont="1" applyFill="1" applyBorder="1"/>
    <xf numFmtId="0" fontId="18" fillId="8" borderId="7" xfId="0" applyFont="1" applyFill="1" applyBorder="1"/>
    <xf numFmtId="0" fontId="19" fillId="2" borderId="8" xfId="0" applyFont="1" applyFill="1" applyBorder="1"/>
    <xf numFmtId="0" fontId="18" fillId="8" borderId="9" xfId="0" applyFont="1" applyFill="1" applyBorder="1"/>
    <xf numFmtId="0" fontId="18" fillId="8" borderId="10" xfId="0" applyFont="1" applyFill="1" applyBorder="1"/>
    <xf numFmtId="0" fontId="15" fillId="7" borderId="17" xfId="0" applyFont="1" applyFill="1" applyBorder="1"/>
    <xf numFmtId="0" fontId="15" fillId="7" borderId="18" xfId="0" applyFont="1" applyFill="1" applyBorder="1"/>
    <xf numFmtId="0" fontId="15" fillId="7" borderId="19" xfId="0" applyFont="1" applyFill="1" applyBorder="1"/>
    <xf numFmtId="4" fontId="15" fillId="0" borderId="0" xfId="0" applyNumberFormat="1" applyFont="1" applyBorder="1"/>
    <xf numFmtId="4" fontId="6" fillId="6" borderId="7" xfId="0" applyNumberFormat="1" applyFont="1" applyFill="1" applyBorder="1" applyAlignment="1">
      <alignment horizontal="right"/>
    </xf>
    <xf numFmtId="4" fontId="11" fillId="6" borderId="26" xfId="0" applyNumberFormat="1" applyFont="1" applyFill="1" applyBorder="1"/>
    <xf numFmtId="49" fontId="1" fillId="2" borderId="38" xfId="0" applyNumberFormat="1" applyFont="1" applyFill="1" applyBorder="1" applyAlignment="1">
      <alignment horizontal="right"/>
    </xf>
    <xf numFmtId="0" fontId="20" fillId="5" borderId="27" xfId="0" applyFont="1" applyFill="1" applyBorder="1" applyAlignment="1">
      <alignment horizontal="center" vertical="center"/>
    </xf>
    <xf numFmtId="0" fontId="20" fillId="5" borderId="28" xfId="0" applyFont="1" applyFill="1" applyBorder="1" applyAlignment="1">
      <alignment horizontal="center" vertical="center"/>
    </xf>
    <xf numFmtId="0" fontId="20" fillId="5" borderId="29" xfId="0" applyFont="1" applyFill="1" applyBorder="1" applyAlignment="1">
      <alignment horizontal="center" vertical="center"/>
    </xf>
    <xf numFmtId="0" fontId="17" fillId="2" borderId="36" xfId="0" applyFont="1" applyFill="1" applyBorder="1" applyAlignment="1">
      <alignment horizontal="center" vertical="center" wrapText="1"/>
    </xf>
    <xf numFmtId="0" fontId="17" fillId="2" borderId="37" xfId="0" applyFont="1" applyFill="1" applyBorder="1" applyAlignment="1">
      <alignment horizontal="center" vertical="center"/>
    </xf>
    <xf numFmtId="0" fontId="20" fillId="5" borderId="20" xfId="0" applyFont="1" applyFill="1" applyBorder="1" applyAlignment="1">
      <alignment horizontal="center" vertical="center"/>
    </xf>
    <xf numFmtId="0" fontId="20" fillId="5" borderId="22" xfId="0" applyFont="1" applyFill="1" applyBorder="1" applyAlignment="1">
      <alignment horizontal="center" vertical="center"/>
    </xf>
    <xf numFmtId="4" fontId="1" fillId="8" borderId="20" xfId="0" applyNumberFormat="1" applyFont="1" applyFill="1" applyBorder="1" applyAlignment="1">
      <alignment horizontal="center"/>
    </xf>
    <xf numFmtId="4" fontId="1" fillId="8" borderId="21" xfId="0" applyNumberFormat="1" applyFont="1" applyFill="1" applyBorder="1" applyAlignment="1">
      <alignment horizontal="center"/>
    </xf>
    <xf numFmtId="4" fontId="1" fillId="8" borderId="22" xfId="0" applyNumberFormat="1" applyFont="1" applyFill="1" applyBorder="1" applyAlignment="1">
      <alignment horizontal="center"/>
    </xf>
    <xf numFmtId="4" fontId="1" fillId="2" borderId="20" xfId="0" applyNumberFormat="1" applyFont="1" applyFill="1" applyBorder="1" applyAlignment="1">
      <alignment horizontal="left"/>
    </xf>
    <xf numFmtId="4" fontId="1" fillId="2" borderId="22" xfId="0" applyNumberFormat="1" applyFont="1" applyFill="1" applyBorder="1" applyAlignment="1">
      <alignment horizontal="left"/>
    </xf>
    <xf numFmtId="4" fontId="1" fillId="2" borderId="23" xfId="0" applyNumberFormat="1" applyFont="1" applyFill="1" applyBorder="1" applyAlignment="1">
      <alignment horizontal="left"/>
    </xf>
    <xf numFmtId="4" fontId="5" fillId="4" borderId="20" xfId="0" applyNumberFormat="1" applyFont="1" applyFill="1" applyBorder="1" applyAlignment="1">
      <alignment horizontal="center"/>
    </xf>
    <xf numFmtId="4" fontId="5" fillId="4" borderId="22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43" fontId="0" fillId="0" borderId="2" xfId="0" applyNumberFormat="1" applyBorder="1" applyAlignment="1">
      <alignment horizontal="center"/>
    </xf>
    <xf numFmtId="43" fontId="0" fillId="0" borderId="7" xfId="0" applyNumberFormat="1" applyBorder="1" applyAlignment="1">
      <alignment horizontal="center"/>
    </xf>
    <xf numFmtId="43" fontId="0" fillId="0" borderId="9" xfId="0" applyNumberFormat="1" applyBorder="1" applyAlignment="1">
      <alignment horizontal="center"/>
    </xf>
    <xf numFmtId="43" fontId="0" fillId="0" borderId="10" xfId="0" applyNumberFormat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43" fontId="9" fillId="0" borderId="2" xfId="0" applyNumberFormat="1" applyFont="1" applyBorder="1" applyAlignment="1">
      <alignment horizontal="center"/>
    </xf>
    <xf numFmtId="43" fontId="9" fillId="0" borderId="7" xfId="0" applyNumberFormat="1" applyFont="1" applyBorder="1" applyAlignment="1">
      <alignment horizontal="center"/>
    </xf>
    <xf numFmtId="10" fontId="18" fillId="8" borderId="7" xfId="2" applyNumberFormat="1" applyFont="1" applyFill="1" applyBorder="1" applyAlignment="1">
      <alignment horizontal="right"/>
    </xf>
    <xf numFmtId="10" fontId="18" fillId="8" borderId="10" xfId="2" applyNumberFormat="1" applyFont="1" applyFill="1" applyBorder="1" applyAlignment="1">
      <alignment horizontal="right"/>
    </xf>
    <xf numFmtId="10" fontId="18" fillId="0" borderId="5" xfId="2" applyNumberFormat="1" applyFont="1" applyBorder="1"/>
    <xf numFmtId="10" fontId="18" fillId="0" borderId="7" xfId="2" applyNumberFormat="1" applyFont="1" applyBorder="1"/>
    <xf numFmtId="10" fontId="18" fillId="0" borderId="10" xfId="2" applyNumberFormat="1" applyFont="1" applyFill="1" applyBorder="1"/>
  </cellXfs>
  <cellStyles count="3">
    <cellStyle name="Millares" xfId="1" builtinId="3"/>
    <cellStyle name="Normal" xfId="0" builtinId="0"/>
    <cellStyle name="Porcentual" xfId="2" builtinId="5"/>
  </cellStyles>
  <dxfs count="1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31F117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8"/>
  <c:chart>
    <c:title>
      <c:tx>
        <c:rich>
          <a:bodyPr/>
          <a:lstStyle/>
          <a:p>
            <a:pPr>
              <a:defRPr/>
            </a:pPr>
            <a:r>
              <a:rPr lang="es-ES"/>
              <a:t>Valoración de la empresa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'Valoración empresa_10'!$E$2</c:f>
              <c:strCache>
                <c:ptCount val="1"/>
                <c:pt idx="0">
                  <c:v>Miles de Euros</c:v>
                </c:pt>
              </c:strCache>
            </c:strRef>
          </c:tx>
          <c:cat>
            <c:strRef>
              <c:f>'Valoración empresa_10'!$B$3:$B$10</c:f>
              <c:strCache>
                <c:ptCount val="8"/>
                <c:pt idx="0">
                  <c:v>Valor contable</c:v>
                </c:pt>
                <c:pt idx="1">
                  <c:v>Valor contable ajustado</c:v>
                </c:pt>
                <c:pt idx="2">
                  <c:v>Ventas anuales</c:v>
                </c:pt>
                <c:pt idx="3">
                  <c:v>Resultado explotación</c:v>
                </c:pt>
                <c:pt idx="4">
                  <c:v>PER</c:v>
                </c:pt>
                <c:pt idx="5">
                  <c:v>FCF</c:v>
                </c:pt>
                <c:pt idx="6">
                  <c:v>FCF optimista</c:v>
                </c:pt>
                <c:pt idx="7">
                  <c:v>FCF pesimista</c:v>
                </c:pt>
              </c:strCache>
            </c:strRef>
          </c:cat>
          <c:val>
            <c:numRef>
              <c:f>'Valoración empresa_10'!$E$3:$E$10</c:f>
              <c:numCache>
                <c:formatCode>_-* #,##0.00\ _€_-;\-* #,##0.00\ _€_-;_-* "-"??\ _€_-;_-@_-</c:formatCode>
                <c:ptCount val="8"/>
                <c:pt idx="0">
                  <c:v>35658.11</c:v>
                </c:pt>
                <c:pt idx="1">
                  <c:v>39158.11</c:v>
                </c:pt>
                <c:pt idx="2">
                  <c:v>28647.01</c:v>
                </c:pt>
                <c:pt idx="3">
                  <c:v>9890.8080000000009</c:v>
                </c:pt>
                <c:pt idx="4">
                  <c:v>-2650.14</c:v>
                </c:pt>
                <c:pt idx="5">
                  <c:v>26969.700649040278</c:v>
                </c:pt>
                <c:pt idx="6">
                  <c:v>40010.682770176631</c:v>
                </c:pt>
                <c:pt idx="7">
                  <c:v>13928.71852790402</c:v>
                </c:pt>
              </c:numCache>
            </c:numRef>
          </c:val>
        </c:ser>
        <c:shape val="box"/>
        <c:axId val="85941248"/>
        <c:axId val="85967616"/>
        <c:axId val="0"/>
      </c:bar3DChart>
      <c:catAx>
        <c:axId val="85941248"/>
        <c:scaling>
          <c:orientation val="minMax"/>
        </c:scaling>
        <c:axPos val="b"/>
        <c:tickLblPos val="nextTo"/>
        <c:crossAx val="85967616"/>
        <c:crosses val="autoZero"/>
        <c:auto val="1"/>
        <c:lblAlgn val="ctr"/>
        <c:lblOffset val="100"/>
      </c:catAx>
      <c:valAx>
        <c:axId val="85967616"/>
        <c:scaling>
          <c:orientation val="minMax"/>
        </c:scaling>
        <c:axPos val="l"/>
        <c:majorGridlines/>
        <c:numFmt formatCode="_-* #,##0.00\ _€_-;\-* #,##0.00\ _€_-;_-* &quot;-&quot;??\ _€_-;_-@_-" sourceLinked="1"/>
        <c:tickLblPos val="nextTo"/>
        <c:crossAx val="859412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966" l="0.70000000000000062" r="0.70000000000000062" t="0.750000000000009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361950</xdr:colOff>
      <xdr:row>0</xdr:row>
      <xdr:rowOff>171450</xdr:rowOff>
    </xdr:from>
    <xdr:to>
      <xdr:col>14</xdr:col>
      <xdr:colOff>171450</xdr:colOff>
      <xdr:row>18</xdr:row>
      <xdr:rowOff>133350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Q32"/>
  <sheetViews>
    <sheetView tabSelected="1" workbookViewId="0"/>
  </sheetViews>
  <sheetFormatPr baseColWidth="10" defaultRowHeight="15"/>
  <cols>
    <col min="1" max="1" width="3.85546875" customWidth="1"/>
    <col min="2" max="2" width="42.85546875" bestFit="1" customWidth="1"/>
    <col min="3" max="3" width="20.5703125" customWidth="1"/>
    <col min="4" max="4" width="6.28515625" customWidth="1"/>
    <col min="5" max="5" width="36.28515625" customWidth="1"/>
    <col min="6" max="6" width="17.7109375" customWidth="1"/>
    <col min="10" max="10" width="14" customWidth="1"/>
    <col min="11" max="11" width="49.28515625" hidden="1" customWidth="1"/>
    <col min="12" max="14" width="11.42578125" hidden="1" customWidth="1"/>
  </cols>
  <sheetData>
    <row r="1" spans="1:17" ht="15.75" customHeight="1" thickBot="1">
      <c r="A1" s="106"/>
      <c r="B1" s="107"/>
      <c r="C1" s="107"/>
      <c r="D1" s="107"/>
      <c r="E1" s="108"/>
      <c r="F1" s="6"/>
      <c r="G1" s="6"/>
      <c r="H1" s="6"/>
      <c r="I1" s="6"/>
      <c r="J1" s="6"/>
      <c r="K1" s="104"/>
      <c r="L1" s="104"/>
      <c r="M1" s="104"/>
      <c r="N1" s="104"/>
      <c r="O1" s="6"/>
      <c r="P1" s="6"/>
      <c r="Q1" s="7"/>
    </row>
    <row r="2" spans="1:17" ht="23.25" customHeight="1" thickBot="1">
      <c r="A2" s="109"/>
      <c r="B2" s="16" t="s">
        <v>27</v>
      </c>
      <c r="C2" s="110"/>
      <c r="D2" s="110"/>
      <c r="E2" s="111"/>
      <c r="F2" s="9"/>
      <c r="G2" s="9"/>
      <c r="H2" s="9"/>
      <c r="I2" s="9"/>
      <c r="J2" s="9"/>
      <c r="K2" s="105"/>
      <c r="L2" s="105"/>
      <c r="M2" s="105"/>
      <c r="N2" s="105"/>
      <c r="O2" s="9"/>
      <c r="P2" s="9"/>
      <c r="Q2" s="10"/>
    </row>
    <row r="3" spans="1:17" ht="23.25" customHeight="1" thickBot="1">
      <c r="A3" s="109"/>
      <c r="B3" s="110"/>
      <c r="C3" s="110"/>
      <c r="D3" s="110"/>
      <c r="E3" s="111"/>
      <c r="F3" s="9"/>
      <c r="G3" s="9"/>
      <c r="H3" s="9"/>
      <c r="I3" s="9"/>
      <c r="J3" s="9"/>
      <c r="K3" s="105">
        <v>3</v>
      </c>
      <c r="L3" s="105" t="s">
        <v>68</v>
      </c>
      <c r="M3" s="105"/>
      <c r="N3" s="105"/>
      <c r="O3" s="9"/>
      <c r="P3" s="9"/>
      <c r="Q3" s="10"/>
    </row>
    <row r="4" spans="1:17" ht="23.25" customHeight="1" thickBot="1">
      <c r="A4" s="109"/>
      <c r="B4" s="103" t="s">
        <v>74</v>
      </c>
      <c r="C4" s="102">
        <v>10</v>
      </c>
      <c r="D4" s="110"/>
      <c r="E4" s="111"/>
      <c r="F4" s="9"/>
      <c r="G4" s="9"/>
      <c r="H4" s="9"/>
      <c r="I4" s="9"/>
      <c r="J4" s="9"/>
      <c r="K4" s="105"/>
      <c r="L4" s="105"/>
      <c r="M4" s="105">
        <v>5</v>
      </c>
      <c r="N4" s="105" t="s">
        <v>71</v>
      </c>
      <c r="O4" s="9"/>
      <c r="P4" s="9"/>
      <c r="Q4" s="10"/>
    </row>
    <row r="5" spans="1:17" ht="23.25" customHeight="1" thickBot="1">
      <c r="A5" s="109"/>
      <c r="B5" s="103" t="s">
        <v>75</v>
      </c>
      <c r="C5" s="110"/>
      <c r="D5" s="110"/>
      <c r="E5" s="111"/>
      <c r="F5" s="9"/>
      <c r="G5" s="9"/>
      <c r="H5" s="9"/>
      <c r="I5" s="9"/>
      <c r="J5" s="9"/>
      <c r="K5" s="105"/>
      <c r="L5" s="105"/>
      <c r="M5" s="105">
        <v>10</v>
      </c>
      <c r="N5" s="105"/>
      <c r="O5" s="9"/>
      <c r="P5" s="9"/>
      <c r="Q5" s="10"/>
    </row>
    <row r="6" spans="1:17">
      <c r="A6" s="109"/>
      <c r="B6" s="110"/>
      <c r="C6" s="110"/>
      <c r="D6" s="110"/>
      <c r="E6" s="111"/>
      <c r="F6" s="9"/>
      <c r="G6" s="9"/>
      <c r="H6" s="9"/>
      <c r="I6" s="9"/>
      <c r="J6" s="9"/>
      <c r="K6" s="105"/>
      <c r="L6" s="105"/>
      <c r="M6" s="105"/>
      <c r="N6" s="105"/>
      <c r="O6" s="9"/>
      <c r="P6" s="9"/>
      <c r="Q6" s="10"/>
    </row>
    <row r="7" spans="1:17" hidden="1">
      <c r="A7" s="109"/>
      <c r="B7" s="110"/>
      <c r="C7" s="110"/>
      <c r="D7" s="110"/>
      <c r="E7" s="111"/>
      <c r="F7" s="9"/>
      <c r="G7" s="9"/>
      <c r="H7" s="9"/>
      <c r="I7" s="9"/>
      <c r="J7" s="9"/>
      <c r="K7" s="105"/>
      <c r="L7" s="105"/>
      <c r="M7" s="105"/>
      <c r="N7" s="105"/>
      <c r="O7" s="9"/>
      <c r="P7" s="9"/>
      <c r="Q7" s="10"/>
    </row>
    <row r="8" spans="1:17" hidden="1">
      <c r="A8" s="109"/>
      <c r="B8" s="110"/>
      <c r="C8" s="110"/>
      <c r="D8" s="110"/>
      <c r="E8" s="111"/>
      <c r="F8" s="9"/>
      <c r="G8" s="9"/>
      <c r="H8" s="9"/>
      <c r="I8" s="9"/>
      <c r="J8" s="9"/>
      <c r="K8" s="105"/>
      <c r="L8" s="105"/>
      <c r="M8" s="105"/>
      <c r="N8" s="105"/>
      <c r="O8" s="9"/>
      <c r="P8" s="9"/>
      <c r="Q8" s="10"/>
    </row>
    <row r="9" spans="1:17" hidden="1">
      <c r="A9" s="109"/>
      <c r="B9" s="110"/>
      <c r="C9" s="110"/>
      <c r="D9" s="110"/>
      <c r="E9" s="111"/>
      <c r="F9" s="9"/>
      <c r="G9" s="9"/>
      <c r="H9" s="9"/>
      <c r="I9" s="9"/>
      <c r="J9" s="9"/>
      <c r="K9" s="105"/>
      <c r="L9" s="105"/>
      <c r="M9" s="105"/>
      <c r="N9" s="105"/>
      <c r="O9" s="9"/>
      <c r="P9" s="9"/>
      <c r="Q9" s="10"/>
    </row>
    <row r="10" spans="1:17" hidden="1">
      <c r="A10" s="109"/>
      <c r="B10" s="110"/>
      <c r="C10" s="110"/>
      <c r="D10" s="110"/>
      <c r="E10" s="111"/>
      <c r="F10" s="9"/>
      <c r="G10" s="9"/>
      <c r="H10" s="9"/>
      <c r="I10" s="9"/>
      <c r="J10" s="9"/>
      <c r="K10" s="105"/>
      <c r="L10" s="105"/>
      <c r="M10" s="105"/>
      <c r="N10" s="105"/>
      <c r="O10" s="9"/>
      <c r="P10" s="9"/>
      <c r="Q10" s="10"/>
    </row>
    <row r="11" spans="1:17" hidden="1">
      <c r="A11" s="109"/>
      <c r="B11" s="110"/>
      <c r="C11" s="110"/>
      <c r="D11" s="110"/>
      <c r="E11" s="111"/>
      <c r="F11" s="9"/>
      <c r="G11" s="9"/>
      <c r="H11" s="9"/>
      <c r="I11" s="9"/>
      <c r="J11" s="9"/>
      <c r="K11" s="105"/>
      <c r="L11" s="105"/>
      <c r="M11" s="105"/>
      <c r="N11" s="105"/>
      <c r="O11" s="9"/>
      <c r="P11" s="9"/>
      <c r="Q11" s="10"/>
    </row>
    <row r="12" spans="1:17" hidden="1">
      <c r="A12" s="109"/>
      <c r="B12" s="110"/>
      <c r="C12" s="110"/>
      <c r="D12" s="110"/>
      <c r="E12" s="111"/>
      <c r="F12" s="9"/>
      <c r="G12" s="9"/>
      <c r="H12" s="9"/>
      <c r="I12" s="9"/>
      <c r="J12" s="9"/>
      <c r="K12" s="105"/>
      <c r="L12" s="105"/>
      <c r="M12" s="105"/>
      <c r="N12" s="105"/>
      <c r="O12" s="9"/>
      <c r="P12" s="9"/>
      <c r="Q12" s="10"/>
    </row>
    <row r="13" spans="1:17" hidden="1">
      <c r="A13" s="109"/>
      <c r="B13" s="110"/>
      <c r="C13" s="110"/>
      <c r="D13" s="110"/>
      <c r="E13" s="111"/>
      <c r="F13" s="9"/>
      <c r="G13" s="9"/>
      <c r="H13" s="9"/>
      <c r="I13" s="9"/>
      <c r="J13" s="9"/>
      <c r="K13" s="105"/>
      <c r="L13" s="105"/>
      <c r="M13" s="105"/>
      <c r="N13" s="105"/>
      <c r="O13" s="9"/>
      <c r="P13" s="9"/>
      <c r="Q13" s="10"/>
    </row>
    <row r="14" spans="1:17" hidden="1">
      <c r="A14" s="109"/>
      <c r="B14" s="110"/>
      <c r="C14" s="110"/>
      <c r="D14" s="110"/>
      <c r="E14" s="111"/>
      <c r="F14" s="9"/>
      <c r="G14" s="9"/>
      <c r="H14" s="9"/>
      <c r="I14" s="9"/>
      <c r="J14" s="9"/>
      <c r="K14" s="105"/>
      <c r="L14" s="105"/>
      <c r="M14" s="105"/>
      <c r="N14" s="105"/>
      <c r="O14" s="9"/>
      <c r="P14" s="9"/>
      <c r="Q14" s="10"/>
    </row>
    <row r="15" spans="1:17" hidden="1">
      <c r="A15" s="109"/>
      <c r="B15" s="110"/>
      <c r="C15" s="110"/>
      <c r="D15" s="110"/>
      <c r="E15" s="111"/>
      <c r="F15" s="9"/>
      <c r="G15" s="9"/>
      <c r="H15" s="9"/>
      <c r="I15" s="9"/>
      <c r="J15" s="9"/>
      <c r="K15" s="105"/>
      <c r="L15" s="105"/>
      <c r="M15" s="105"/>
      <c r="N15" s="105"/>
      <c r="O15" s="9"/>
      <c r="P15" s="9"/>
      <c r="Q15" s="10"/>
    </row>
    <row r="16" spans="1:17" hidden="1">
      <c r="A16" s="109"/>
      <c r="B16" s="110"/>
      <c r="C16" s="110"/>
      <c r="D16" s="110"/>
      <c r="E16" s="111"/>
      <c r="F16" s="9"/>
      <c r="G16" s="9"/>
      <c r="H16" s="9"/>
      <c r="I16" s="9"/>
      <c r="J16" s="9"/>
      <c r="K16" s="105"/>
      <c r="L16" s="105"/>
      <c r="M16" s="105"/>
      <c r="N16" s="105"/>
      <c r="O16" s="9"/>
      <c r="P16" s="9"/>
      <c r="Q16" s="10"/>
    </row>
    <row r="17" spans="1:17">
      <c r="A17" s="109"/>
      <c r="B17" s="110"/>
      <c r="C17" s="110"/>
      <c r="D17" s="110"/>
      <c r="E17" s="111"/>
      <c r="F17" s="9"/>
      <c r="G17" s="9"/>
      <c r="H17" s="9"/>
      <c r="I17" s="9"/>
      <c r="J17" s="9"/>
      <c r="K17" s="105"/>
      <c r="L17" s="105"/>
      <c r="M17" s="105"/>
      <c r="N17" s="105"/>
      <c r="O17" s="9"/>
      <c r="P17" s="9"/>
      <c r="Q17" s="10"/>
    </row>
    <row r="18" spans="1:17" ht="15.75" thickBot="1">
      <c r="A18" s="112"/>
      <c r="B18" s="113"/>
      <c r="C18" s="113"/>
      <c r="D18" s="113"/>
      <c r="E18" s="114"/>
      <c r="F18" s="9"/>
      <c r="G18" s="9"/>
      <c r="H18" s="9"/>
      <c r="I18" s="9"/>
      <c r="J18" s="9"/>
      <c r="K18" s="105"/>
      <c r="L18" s="105"/>
      <c r="M18" s="105"/>
      <c r="N18" s="105"/>
      <c r="O18" s="9"/>
      <c r="P18" s="9"/>
      <c r="Q18" s="10"/>
    </row>
    <row r="19" spans="1:17">
      <c r="A19" s="8"/>
      <c r="B19" s="9"/>
      <c r="C19" s="9"/>
      <c r="D19" s="9"/>
      <c r="E19" s="9"/>
      <c r="F19" s="9"/>
      <c r="G19" s="9"/>
      <c r="H19" s="9"/>
      <c r="I19" s="9"/>
      <c r="J19" s="9"/>
      <c r="K19" s="105"/>
      <c r="L19" s="105"/>
      <c r="M19" s="105"/>
      <c r="N19" s="105"/>
      <c r="O19" s="9"/>
      <c r="P19" s="9"/>
      <c r="Q19" s="10"/>
    </row>
    <row r="20" spans="1:17">
      <c r="A20" s="8"/>
      <c r="B20" s="9"/>
      <c r="C20" s="9"/>
      <c r="D20" s="9"/>
      <c r="E20" s="9"/>
      <c r="F20" s="9"/>
      <c r="G20" s="9"/>
      <c r="H20" s="9"/>
      <c r="I20" s="9"/>
      <c r="J20" s="9"/>
      <c r="K20" s="105"/>
      <c r="L20" s="105"/>
      <c r="M20" s="105"/>
      <c r="N20" s="105"/>
      <c r="O20" s="9"/>
      <c r="P20" s="9"/>
      <c r="Q20" s="10"/>
    </row>
    <row r="21" spans="1:17">
      <c r="A21" s="8"/>
      <c r="B21" s="9"/>
      <c r="C21" s="9"/>
      <c r="D21" s="9"/>
      <c r="E21" s="9"/>
      <c r="F21" s="9"/>
      <c r="G21" s="9"/>
      <c r="H21" s="9"/>
      <c r="I21" s="9"/>
      <c r="J21" s="9"/>
      <c r="K21" s="105"/>
      <c r="L21" s="105"/>
      <c r="M21" s="105"/>
      <c r="N21" s="105"/>
      <c r="O21" s="9"/>
      <c r="P21" s="9"/>
      <c r="Q21" s="10"/>
    </row>
    <row r="22" spans="1:17">
      <c r="A22" s="8"/>
      <c r="B22" s="9"/>
      <c r="C22" s="9"/>
      <c r="D22" s="9"/>
      <c r="E22" s="9"/>
      <c r="F22" s="9"/>
      <c r="G22" s="9"/>
      <c r="H22" s="9"/>
      <c r="I22" s="9"/>
      <c r="J22" s="9"/>
      <c r="K22" s="105"/>
      <c r="L22" s="105"/>
      <c r="M22" s="105"/>
      <c r="N22" s="105"/>
      <c r="O22" s="9"/>
      <c r="P22" s="9"/>
      <c r="Q22" s="10"/>
    </row>
    <row r="23" spans="1:17">
      <c r="A23" s="8"/>
      <c r="B23" s="9"/>
      <c r="C23" s="9"/>
      <c r="D23" s="9"/>
      <c r="E23" s="9"/>
      <c r="F23" s="9"/>
      <c r="G23" s="9"/>
      <c r="H23" s="9"/>
      <c r="I23" s="9"/>
      <c r="J23" s="9"/>
      <c r="K23" s="105"/>
      <c r="L23" s="105"/>
      <c r="M23" s="105"/>
      <c r="N23" s="105"/>
      <c r="O23" s="9"/>
      <c r="P23" s="9"/>
      <c r="Q23" s="10"/>
    </row>
    <row r="24" spans="1:17">
      <c r="A24" s="8"/>
      <c r="B24" s="9"/>
      <c r="C24" s="9"/>
      <c r="D24" s="9"/>
      <c r="E24" s="9"/>
      <c r="F24" s="9"/>
      <c r="G24" s="9"/>
      <c r="H24" s="9"/>
      <c r="I24" s="9"/>
      <c r="J24" s="9"/>
      <c r="K24" s="105"/>
      <c r="L24" s="105"/>
      <c r="M24" s="105"/>
      <c r="N24" s="105"/>
      <c r="O24" s="9"/>
      <c r="P24" s="9"/>
      <c r="Q24" s="10"/>
    </row>
    <row r="25" spans="1:17">
      <c r="A25" s="8"/>
      <c r="B25" s="9"/>
      <c r="C25" s="9"/>
      <c r="D25" s="9"/>
      <c r="E25" s="9"/>
      <c r="F25" s="9"/>
      <c r="G25" s="9"/>
      <c r="H25" s="9"/>
      <c r="I25" s="9"/>
      <c r="J25" s="9"/>
      <c r="K25" s="105"/>
      <c r="L25" s="105"/>
      <c r="M25" s="105"/>
      <c r="N25" s="105"/>
      <c r="O25" s="9"/>
      <c r="P25" s="9"/>
      <c r="Q25" s="10"/>
    </row>
    <row r="26" spans="1:17">
      <c r="A26" s="8"/>
      <c r="B26" s="9"/>
      <c r="C26" s="9"/>
      <c r="D26" s="9"/>
      <c r="E26" s="9"/>
      <c r="F26" s="9"/>
      <c r="G26" s="9"/>
      <c r="H26" s="9"/>
      <c r="I26" s="9"/>
      <c r="J26" s="9"/>
      <c r="K26" s="105"/>
      <c r="L26" s="105"/>
      <c r="M26" s="105"/>
      <c r="N26" s="105"/>
      <c r="O26" s="9"/>
      <c r="P26" s="9"/>
      <c r="Q26" s="10"/>
    </row>
    <row r="27" spans="1:17">
      <c r="A27" s="8"/>
      <c r="B27" s="9"/>
      <c r="C27" s="9"/>
      <c r="D27" s="9"/>
      <c r="E27" s="9"/>
      <c r="F27" s="9"/>
      <c r="G27" s="9"/>
      <c r="H27" s="9"/>
      <c r="I27" s="9"/>
      <c r="J27" s="9"/>
      <c r="K27" s="105"/>
      <c r="L27" s="105"/>
      <c r="M27" s="105"/>
      <c r="N27" s="105"/>
      <c r="O27" s="9"/>
      <c r="P27" s="9"/>
      <c r="Q27" s="10"/>
    </row>
    <row r="28" spans="1:17">
      <c r="A28" s="8"/>
      <c r="B28" s="9"/>
      <c r="C28" s="9"/>
      <c r="D28" s="9"/>
      <c r="E28" s="9"/>
      <c r="F28" s="9"/>
      <c r="G28" s="9"/>
      <c r="H28" s="9"/>
      <c r="I28" s="9"/>
      <c r="J28" s="9"/>
      <c r="K28" s="105"/>
      <c r="L28" s="105"/>
      <c r="M28" s="105"/>
      <c r="N28" s="105"/>
      <c r="O28" s="9"/>
      <c r="P28" s="9"/>
      <c r="Q28" s="10"/>
    </row>
    <row r="29" spans="1:17">
      <c r="A29" s="8"/>
      <c r="B29" s="9"/>
      <c r="C29" s="9"/>
      <c r="D29" s="9"/>
      <c r="E29" s="9"/>
      <c r="F29" s="9"/>
      <c r="G29" s="9"/>
      <c r="H29" s="9"/>
      <c r="I29" s="9"/>
      <c r="J29" s="9"/>
      <c r="K29" s="105"/>
      <c r="L29" s="105"/>
      <c r="M29" s="105"/>
      <c r="N29" s="105"/>
      <c r="O29" s="9"/>
      <c r="P29" s="9"/>
      <c r="Q29" s="10"/>
    </row>
    <row r="30" spans="1:17">
      <c r="A30" s="8"/>
      <c r="B30" s="9"/>
      <c r="C30" s="9"/>
      <c r="D30" s="9"/>
      <c r="E30" s="9"/>
      <c r="F30" s="9"/>
      <c r="G30" s="9"/>
      <c r="H30" s="9"/>
      <c r="I30" s="9"/>
      <c r="J30" s="9"/>
      <c r="K30" s="105"/>
      <c r="L30" s="105"/>
      <c r="M30" s="105"/>
      <c r="N30" s="105"/>
      <c r="O30" s="9"/>
      <c r="P30" s="9"/>
      <c r="Q30" s="10"/>
    </row>
    <row r="31" spans="1:17">
      <c r="A31" s="8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0"/>
    </row>
    <row r="32" spans="1:17" ht="15.75" thickBot="1">
      <c r="A32" s="11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3"/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"/>
  <dimension ref="A1:N49"/>
  <sheetViews>
    <sheetView workbookViewId="0">
      <selection activeCell="C16" sqref="C16"/>
    </sheetView>
  </sheetViews>
  <sheetFormatPr baseColWidth="10" defaultRowHeight="12"/>
  <cols>
    <col min="1" max="1" width="3.85546875" style="122" customWidth="1"/>
    <col min="2" max="2" width="54.140625" style="122" customWidth="1"/>
    <col min="3" max="3" width="16.5703125" style="122" customWidth="1"/>
    <col min="4" max="4" width="6.28515625" style="122" customWidth="1"/>
    <col min="5" max="5" width="54" style="122" customWidth="1"/>
    <col min="6" max="6" width="16.42578125" style="122" customWidth="1"/>
    <col min="7" max="9" width="11.42578125" style="122"/>
    <col min="10" max="10" width="14" style="122" customWidth="1"/>
    <col min="11" max="11" width="49.28515625" style="122" hidden="1" customWidth="1"/>
    <col min="12" max="14" width="11.42578125" style="122" hidden="1" customWidth="1"/>
    <col min="15" max="16384" width="11.42578125" style="122"/>
  </cols>
  <sheetData>
    <row r="1" spans="1:14" ht="15.75" customHeight="1" thickBot="1">
      <c r="A1" s="119"/>
      <c r="B1" s="120"/>
      <c r="C1" s="120"/>
      <c r="D1" s="120"/>
      <c r="E1" s="120"/>
      <c r="F1" s="120"/>
      <c r="G1" s="120"/>
      <c r="H1" s="120"/>
      <c r="I1" s="121"/>
    </row>
    <row r="2" spans="1:14" ht="33" customHeight="1" thickBot="1">
      <c r="A2" s="123"/>
      <c r="B2" s="124" t="s">
        <v>27</v>
      </c>
      <c r="C2" s="125"/>
      <c r="D2" s="125"/>
      <c r="E2" s="157" t="s">
        <v>82</v>
      </c>
      <c r="F2" s="126" t="s">
        <v>62</v>
      </c>
      <c r="G2" s="125"/>
      <c r="H2" s="125"/>
      <c r="I2" s="127"/>
    </row>
    <row r="3" spans="1:14" ht="33" customHeight="1" thickBot="1">
      <c r="A3" s="123"/>
      <c r="B3" s="125"/>
      <c r="C3" s="125"/>
      <c r="D3" s="125"/>
      <c r="E3" s="158"/>
      <c r="F3" s="128" t="s">
        <v>63</v>
      </c>
      <c r="G3" s="125"/>
      <c r="H3" s="125"/>
      <c r="I3" s="127"/>
      <c r="L3" s="122" t="s">
        <v>69</v>
      </c>
      <c r="M3" s="122">
        <v>3</v>
      </c>
      <c r="N3" s="122" t="s">
        <v>68</v>
      </c>
    </row>
    <row r="4" spans="1:14" ht="23.25" customHeight="1" thickBot="1">
      <c r="A4" s="123"/>
      <c r="B4" s="125"/>
      <c r="C4" s="125"/>
      <c r="D4" s="125"/>
      <c r="E4" s="125"/>
      <c r="F4" s="125"/>
      <c r="G4" s="125"/>
      <c r="H4" s="125"/>
      <c r="I4" s="127"/>
      <c r="L4" s="122" t="s">
        <v>70</v>
      </c>
      <c r="M4" s="122">
        <v>5</v>
      </c>
      <c r="N4" s="122" t="s">
        <v>71</v>
      </c>
    </row>
    <row r="5" spans="1:14" ht="15" customHeight="1" thickBot="1">
      <c r="A5" s="123"/>
      <c r="B5" s="154" t="s">
        <v>83</v>
      </c>
      <c r="C5" s="155"/>
      <c r="D5" s="125"/>
      <c r="E5" s="125"/>
      <c r="F5" s="125"/>
      <c r="G5" s="125"/>
      <c r="H5" s="125"/>
      <c r="I5" s="127"/>
      <c r="L5" s="122" t="s">
        <v>72</v>
      </c>
      <c r="M5" s="122">
        <v>10</v>
      </c>
    </row>
    <row r="6" spans="1:14" ht="15" customHeight="1">
      <c r="A6" s="123"/>
      <c r="B6" s="129" t="s">
        <v>32</v>
      </c>
      <c r="C6" s="178">
        <v>0.04</v>
      </c>
      <c r="D6" s="125"/>
      <c r="E6" s="130" t="s">
        <v>60</v>
      </c>
      <c r="F6" s="131" t="s">
        <v>101</v>
      </c>
      <c r="G6" s="125"/>
      <c r="H6" s="125"/>
      <c r="I6" s="127"/>
      <c r="M6" s="122">
        <v>20</v>
      </c>
    </row>
    <row r="7" spans="1:14" ht="15" customHeight="1">
      <c r="A7" s="123"/>
      <c r="B7" s="129" t="s">
        <v>34</v>
      </c>
      <c r="C7" s="178">
        <v>0</v>
      </c>
      <c r="D7" s="125"/>
      <c r="E7" s="129" t="s">
        <v>61</v>
      </c>
      <c r="F7" s="132" t="s">
        <v>102</v>
      </c>
      <c r="G7" s="125"/>
      <c r="H7" s="125"/>
      <c r="I7" s="127"/>
      <c r="M7" s="122">
        <v>50</v>
      </c>
    </row>
    <row r="8" spans="1:14" ht="15" customHeight="1">
      <c r="A8" s="123"/>
      <c r="B8" s="129" t="s">
        <v>35</v>
      </c>
      <c r="C8" s="178">
        <v>0.05</v>
      </c>
      <c r="D8" s="125"/>
      <c r="E8" s="129" t="s">
        <v>80</v>
      </c>
      <c r="F8" s="133">
        <v>40543</v>
      </c>
      <c r="G8" s="125"/>
      <c r="H8" s="125"/>
      <c r="I8" s="127"/>
    </row>
    <row r="9" spans="1:14" ht="15" customHeight="1" thickBot="1">
      <c r="A9" s="123"/>
      <c r="B9" s="134" t="s">
        <v>55</v>
      </c>
      <c r="C9" s="179">
        <v>0.05</v>
      </c>
      <c r="D9" s="125"/>
      <c r="E9" s="129" t="s">
        <v>65</v>
      </c>
      <c r="F9" s="132" t="s">
        <v>73</v>
      </c>
      <c r="G9" s="125"/>
      <c r="H9" s="125"/>
      <c r="I9" s="127"/>
      <c r="K9" s="136" t="s">
        <v>6</v>
      </c>
    </row>
    <row r="10" spans="1:14" ht="15" customHeight="1" thickBot="1">
      <c r="A10" s="123"/>
      <c r="B10" s="125"/>
      <c r="C10" s="125"/>
      <c r="D10" s="125"/>
      <c r="E10" s="134" t="s">
        <v>81</v>
      </c>
      <c r="F10" s="135" t="s">
        <v>70</v>
      </c>
      <c r="G10" s="125"/>
      <c r="H10" s="125"/>
      <c r="I10" s="127"/>
      <c r="K10" s="136" t="s">
        <v>56</v>
      </c>
    </row>
    <row r="11" spans="1:14" ht="15" customHeight="1" thickBot="1">
      <c r="A11" s="123"/>
      <c r="B11" s="125"/>
      <c r="C11" s="125"/>
      <c r="D11" s="125"/>
      <c r="E11" s="125"/>
      <c r="F11" s="125"/>
      <c r="G11" s="125"/>
      <c r="H11" s="125"/>
      <c r="I11" s="127"/>
      <c r="K11" s="136"/>
    </row>
    <row r="12" spans="1:14" ht="15" customHeight="1">
      <c r="A12" s="123"/>
      <c r="B12" s="154" t="s">
        <v>84</v>
      </c>
      <c r="C12" s="155"/>
      <c r="D12" s="125"/>
      <c r="E12" s="154" t="s">
        <v>85</v>
      </c>
      <c r="F12" s="155"/>
      <c r="G12" s="125"/>
      <c r="H12" s="125"/>
      <c r="I12" s="127"/>
      <c r="K12" s="136"/>
    </row>
    <row r="13" spans="1:14" ht="15" customHeight="1">
      <c r="A13" s="123"/>
      <c r="B13" s="129" t="s">
        <v>37</v>
      </c>
      <c r="C13" s="178">
        <v>0</v>
      </c>
      <c r="D13" s="125"/>
      <c r="E13" s="129" t="s">
        <v>9</v>
      </c>
      <c r="F13" s="178">
        <v>0.04</v>
      </c>
      <c r="G13" s="125"/>
      <c r="H13" s="125"/>
      <c r="I13" s="127"/>
      <c r="K13" s="136"/>
    </row>
    <row r="14" spans="1:14" ht="15" customHeight="1">
      <c r="A14" s="123"/>
      <c r="B14" s="129" t="s">
        <v>38</v>
      </c>
      <c r="C14" s="178">
        <v>0.05</v>
      </c>
      <c r="D14" s="125"/>
      <c r="E14" s="129" t="s">
        <v>40</v>
      </c>
      <c r="F14" s="178">
        <v>0</v>
      </c>
      <c r="G14" s="125"/>
      <c r="H14" s="125"/>
      <c r="I14" s="127"/>
      <c r="K14" s="136"/>
    </row>
    <row r="15" spans="1:14" ht="15" customHeight="1">
      <c r="A15" s="123"/>
      <c r="B15" s="129" t="s">
        <v>79</v>
      </c>
      <c r="C15" s="178">
        <v>0</v>
      </c>
      <c r="D15" s="125"/>
      <c r="E15" s="129" t="s">
        <v>22</v>
      </c>
      <c r="F15" s="178">
        <v>0</v>
      </c>
      <c r="G15" s="125"/>
      <c r="H15" s="125"/>
      <c r="I15" s="127"/>
      <c r="K15" s="136"/>
    </row>
    <row r="16" spans="1:14" ht="15" customHeight="1" thickBot="1">
      <c r="A16" s="123"/>
      <c r="B16" s="129" t="s">
        <v>6</v>
      </c>
      <c r="C16" s="178">
        <v>0.08</v>
      </c>
      <c r="D16" s="125"/>
      <c r="E16" s="134" t="s">
        <v>77</v>
      </c>
      <c r="F16" s="179">
        <v>0</v>
      </c>
      <c r="G16" s="125"/>
      <c r="H16" s="125"/>
      <c r="I16" s="127"/>
      <c r="K16" s="136"/>
    </row>
    <row r="17" spans="1:11" ht="15" customHeight="1">
      <c r="A17" s="123"/>
      <c r="B17" s="129" t="s">
        <v>20</v>
      </c>
      <c r="C17" s="178">
        <v>7.0000000000000007E-2</v>
      </c>
      <c r="D17" s="125"/>
      <c r="E17" s="125"/>
      <c r="F17" s="125"/>
      <c r="G17" s="125"/>
      <c r="H17" s="125"/>
      <c r="I17" s="127"/>
      <c r="K17" s="136"/>
    </row>
    <row r="18" spans="1:11" ht="15" customHeight="1" thickBot="1">
      <c r="A18" s="123"/>
      <c r="B18" s="134" t="s">
        <v>78</v>
      </c>
      <c r="C18" s="179">
        <v>0</v>
      </c>
      <c r="D18" s="125"/>
      <c r="E18" s="125"/>
      <c r="F18" s="125"/>
      <c r="G18" s="125"/>
      <c r="H18" s="125"/>
      <c r="I18" s="127"/>
      <c r="K18" s="136"/>
    </row>
    <row r="19" spans="1:11" ht="12.75" thickBot="1">
      <c r="A19" s="123"/>
      <c r="B19" s="125"/>
      <c r="C19" s="125"/>
      <c r="D19" s="125"/>
      <c r="E19" s="125"/>
      <c r="F19" s="125"/>
      <c r="G19" s="125"/>
      <c r="H19" s="125"/>
      <c r="I19" s="127"/>
      <c r="K19" s="137" t="s">
        <v>21</v>
      </c>
    </row>
    <row r="20" spans="1:11">
      <c r="A20" s="123"/>
      <c r="B20" s="154" t="s">
        <v>86</v>
      </c>
      <c r="C20" s="155"/>
      <c r="D20" s="125"/>
      <c r="E20" s="154" t="s">
        <v>87</v>
      </c>
      <c r="F20" s="155"/>
      <c r="G20" s="125"/>
      <c r="H20" s="125"/>
      <c r="I20" s="127"/>
      <c r="K20" s="136" t="s">
        <v>57</v>
      </c>
    </row>
    <row r="21" spans="1:11">
      <c r="A21" s="123"/>
      <c r="B21" s="129" t="s">
        <v>32</v>
      </c>
      <c r="C21" s="178">
        <v>0.25</v>
      </c>
      <c r="D21" s="125"/>
      <c r="E21" s="129" t="s">
        <v>32</v>
      </c>
      <c r="F21" s="178">
        <v>-0.25</v>
      </c>
      <c r="G21" s="125"/>
      <c r="H21" s="125"/>
      <c r="I21" s="127"/>
      <c r="K21" s="136" t="s">
        <v>58</v>
      </c>
    </row>
    <row r="22" spans="1:11">
      <c r="A22" s="123"/>
      <c r="B22" s="129" t="s">
        <v>34</v>
      </c>
      <c r="C22" s="178">
        <v>-0.05</v>
      </c>
      <c r="D22" s="125"/>
      <c r="E22" s="129" t="s">
        <v>34</v>
      </c>
      <c r="F22" s="178">
        <v>0.05</v>
      </c>
      <c r="G22" s="125"/>
      <c r="H22" s="125"/>
      <c r="I22" s="127"/>
      <c r="K22" s="136" t="s">
        <v>59</v>
      </c>
    </row>
    <row r="23" spans="1:11">
      <c r="A23" s="123"/>
      <c r="B23" s="129" t="s">
        <v>35</v>
      </c>
      <c r="C23" s="178">
        <v>0.25</v>
      </c>
      <c r="D23" s="125"/>
      <c r="E23" s="129" t="s">
        <v>35</v>
      </c>
      <c r="F23" s="178">
        <v>-0.25</v>
      </c>
      <c r="G23" s="125"/>
      <c r="H23" s="125"/>
      <c r="I23" s="127"/>
      <c r="K23" s="137" t="s">
        <v>19</v>
      </c>
    </row>
    <row r="24" spans="1:11" ht="12.75" thickBot="1">
      <c r="A24" s="123"/>
      <c r="B24" s="134" t="s">
        <v>12</v>
      </c>
      <c r="C24" s="179">
        <v>0.25</v>
      </c>
      <c r="D24" s="125"/>
      <c r="E24" s="134" t="s">
        <v>12</v>
      </c>
      <c r="F24" s="179">
        <v>-0.25</v>
      </c>
      <c r="G24" s="125"/>
      <c r="H24" s="125"/>
      <c r="I24" s="127"/>
      <c r="K24" s="137" t="s">
        <v>66</v>
      </c>
    </row>
    <row r="25" spans="1:11" ht="12.75" thickBot="1">
      <c r="A25" s="125"/>
      <c r="B25" s="125"/>
      <c r="C25" s="125"/>
      <c r="D25" s="125"/>
      <c r="E25" s="125"/>
      <c r="F25" s="125"/>
      <c r="G25" s="125"/>
      <c r="H25" s="125"/>
      <c r="I25" s="127"/>
      <c r="K25" s="150"/>
    </row>
    <row r="26" spans="1:11">
      <c r="A26" s="123"/>
      <c r="B26" s="154" t="s">
        <v>88</v>
      </c>
      <c r="C26" s="155"/>
      <c r="D26" s="125"/>
      <c r="E26" s="154" t="s">
        <v>104</v>
      </c>
      <c r="F26" s="155"/>
      <c r="G26" s="125"/>
      <c r="H26" s="125"/>
      <c r="I26" s="127"/>
    </row>
    <row r="27" spans="1:11">
      <c r="A27" s="123"/>
      <c r="B27" s="129" t="s">
        <v>37</v>
      </c>
      <c r="C27" s="178">
        <v>0</v>
      </c>
      <c r="D27" s="125"/>
      <c r="E27" s="129" t="s">
        <v>37</v>
      </c>
      <c r="F27" s="178">
        <v>0</v>
      </c>
      <c r="G27" s="125"/>
      <c r="H27" s="125"/>
      <c r="I27" s="127"/>
    </row>
    <row r="28" spans="1:11">
      <c r="A28" s="123"/>
      <c r="B28" s="129" t="s">
        <v>38</v>
      </c>
      <c r="C28" s="178">
        <v>0.05</v>
      </c>
      <c r="D28" s="125"/>
      <c r="E28" s="129" t="s">
        <v>38</v>
      </c>
      <c r="F28" s="178">
        <v>-0.05</v>
      </c>
      <c r="G28" s="125"/>
      <c r="H28" s="125"/>
      <c r="I28" s="127"/>
    </row>
    <row r="29" spans="1:11">
      <c r="A29" s="123"/>
      <c r="B29" s="129" t="s">
        <v>79</v>
      </c>
      <c r="C29" s="178">
        <v>0</v>
      </c>
      <c r="D29" s="125"/>
      <c r="E29" s="129" t="s">
        <v>79</v>
      </c>
      <c r="F29" s="178">
        <v>0</v>
      </c>
      <c r="G29" s="125"/>
      <c r="H29" s="125"/>
      <c r="I29" s="127"/>
    </row>
    <row r="30" spans="1:11">
      <c r="A30" s="123"/>
      <c r="B30" s="129" t="s">
        <v>6</v>
      </c>
      <c r="C30" s="178">
        <v>0.08</v>
      </c>
      <c r="D30" s="125"/>
      <c r="E30" s="129" t="s">
        <v>6</v>
      </c>
      <c r="F30" s="178">
        <v>-0.08</v>
      </c>
      <c r="G30" s="125"/>
      <c r="H30" s="125"/>
      <c r="I30" s="127"/>
    </row>
    <row r="31" spans="1:11">
      <c r="A31" s="123"/>
      <c r="B31" s="129" t="s">
        <v>20</v>
      </c>
      <c r="C31" s="178">
        <v>7.0000000000000007E-2</v>
      </c>
      <c r="D31" s="125"/>
      <c r="E31" s="129" t="s">
        <v>20</v>
      </c>
      <c r="F31" s="178">
        <v>-7.0000000000000007E-2</v>
      </c>
      <c r="G31" s="125"/>
      <c r="H31" s="125"/>
      <c r="I31" s="127"/>
    </row>
    <row r="32" spans="1:11" ht="12.75" thickBot="1">
      <c r="A32" s="123"/>
      <c r="B32" s="134" t="s">
        <v>78</v>
      </c>
      <c r="C32" s="179">
        <v>0</v>
      </c>
      <c r="D32" s="125"/>
      <c r="E32" s="134" t="s">
        <v>78</v>
      </c>
      <c r="F32" s="179">
        <v>0</v>
      </c>
      <c r="G32" s="125"/>
      <c r="H32" s="125"/>
      <c r="I32" s="127"/>
    </row>
    <row r="33" spans="1:11">
      <c r="A33" s="123"/>
      <c r="B33" s="129" t="s">
        <v>9</v>
      </c>
      <c r="C33" s="178">
        <v>0.25</v>
      </c>
      <c r="D33" s="125"/>
      <c r="E33" s="129" t="s">
        <v>9</v>
      </c>
      <c r="F33" s="178">
        <v>-0.25</v>
      </c>
      <c r="G33" s="125"/>
      <c r="H33" s="125"/>
      <c r="I33" s="127"/>
    </row>
    <row r="34" spans="1:11">
      <c r="A34" s="123"/>
      <c r="B34" s="129" t="s">
        <v>40</v>
      </c>
      <c r="C34" s="178">
        <v>0</v>
      </c>
      <c r="D34" s="125"/>
      <c r="E34" s="129" t="s">
        <v>40</v>
      </c>
      <c r="F34" s="178">
        <v>0</v>
      </c>
      <c r="G34" s="125"/>
      <c r="H34" s="125"/>
      <c r="I34" s="127"/>
    </row>
    <row r="35" spans="1:11">
      <c r="A35" s="123"/>
      <c r="B35" s="129" t="s">
        <v>22</v>
      </c>
      <c r="C35" s="178">
        <v>0</v>
      </c>
      <c r="D35" s="125"/>
      <c r="E35" s="129" t="s">
        <v>22</v>
      </c>
      <c r="F35" s="178">
        <v>0</v>
      </c>
      <c r="G35" s="125"/>
      <c r="H35" s="125"/>
      <c r="I35" s="127"/>
    </row>
    <row r="36" spans="1:11" ht="12.75" thickBot="1">
      <c r="A36" s="123"/>
      <c r="B36" s="134" t="s">
        <v>77</v>
      </c>
      <c r="C36" s="179">
        <v>0</v>
      </c>
      <c r="D36" s="125"/>
      <c r="E36" s="134" t="s">
        <v>77</v>
      </c>
      <c r="F36" s="179">
        <v>0</v>
      </c>
      <c r="G36" s="125"/>
      <c r="H36" s="125"/>
      <c r="I36" s="127"/>
    </row>
    <row r="37" spans="1:11" ht="12.75" thickBot="1">
      <c r="A37" s="125"/>
      <c r="B37" s="125"/>
      <c r="C37" s="125"/>
      <c r="D37" s="125"/>
      <c r="E37" s="125"/>
      <c r="F37" s="125"/>
      <c r="G37" s="125"/>
      <c r="H37" s="125"/>
      <c r="I37" s="127"/>
      <c r="K37" s="150"/>
    </row>
    <row r="38" spans="1:11" ht="12.75" thickBot="1">
      <c r="A38" s="123"/>
      <c r="B38" s="159" t="s">
        <v>64</v>
      </c>
      <c r="C38" s="160"/>
      <c r="D38" s="125"/>
      <c r="E38" s="125"/>
      <c r="F38" s="125"/>
      <c r="G38" s="125"/>
      <c r="H38" s="125"/>
      <c r="I38" s="127"/>
    </row>
    <row r="39" spans="1:11">
      <c r="A39" s="123"/>
      <c r="B39" s="138" t="s">
        <v>89</v>
      </c>
      <c r="C39" s="180">
        <v>0.3</v>
      </c>
      <c r="D39" s="125"/>
      <c r="E39" s="125"/>
      <c r="F39" s="125"/>
      <c r="G39" s="125"/>
      <c r="H39" s="125"/>
      <c r="I39" s="127"/>
    </row>
    <row r="40" spans="1:11">
      <c r="A40" s="123"/>
      <c r="B40" s="139" t="s">
        <v>90</v>
      </c>
      <c r="C40" s="181">
        <v>0.02</v>
      </c>
      <c r="D40" s="125"/>
      <c r="E40" s="125"/>
      <c r="F40" s="125"/>
      <c r="G40" s="125"/>
      <c r="H40" s="125"/>
      <c r="I40" s="127"/>
    </row>
    <row r="41" spans="1:11">
      <c r="A41" s="123"/>
      <c r="B41" s="139" t="s">
        <v>91</v>
      </c>
      <c r="C41" s="181">
        <v>0.1</v>
      </c>
      <c r="D41" s="125"/>
      <c r="E41" s="125"/>
      <c r="F41" s="125"/>
      <c r="G41" s="125"/>
      <c r="H41" s="125"/>
      <c r="I41" s="127"/>
    </row>
    <row r="42" spans="1:11" ht="12.75" thickBot="1">
      <c r="A42" s="123"/>
      <c r="B42" s="140" t="s">
        <v>92</v>
      </c>
      <c r="C42" s="182">
        <v>0.06</v>
      </c>
      <c r="D42" s="125"/>
      <c r="E42" s="125"/>
      <c r="F42" s="125"/>
      <c r="G42" s="125"/>
      <c r="H42" s="125"/>
      <c r="I42" s="127"/>
    </row>
    <row r="43" spans="1:11" ht="12.75" thickBot="1">
      <c r="A43" s="123"/>
      <c r="B43" s="125"/>
      <c r="C43" s="125"/>
      <c r="D43" s="125"/>
      <c r="E43" s="125"/>
      <c r="F43" s="125"/>
      <c r="G43" s="125"/>
      <c r="H43" s="125"/>
      <c r="I43" s="127"/>
    </row>
    <row r="44" spans="1:11">
      <c r="A44" s="123"/>
      <c r="B44" s="154" t="s">
        <v>33</v>
      </c>
      <c r="C44" s="156"/>
      <c r="D44" s="155"/>
      <c r="E44" s="125"/>
      <c r="F44" s="125"/>
      <c r="G44" s="125"/>
      <c r="H44" s="125"/>
      <c r="I44" s="127"/>
    </row>
    <row r="45" spans="1:11">
      <c r="A45" s="123"/>
      <c r="B45" s="141" t="s">
        <v>93</v>
      </c>
      <c r="C45" s="142">
        <v>2</v>
      </c>
      <c r="D45" s="143">
        <v>4</v>
      </c>
      <c r="E45" s="125"/>
      <c r="F45" s="125"/>
      <c r="G45" s="125"/>
      <c r="H45" s="125"/>
      <c r="I45" s="127"/>
    </row>
    <row r="46" spans="1:11">
      <c r="A46" s="123"/>
      <c r="B46" s="141" t="s">
        <v>94</v>
      </c>
      <c r="C46" s="142">
        <v>6</v>
      </c>
      <c r="D46" s="143">
        <v>8</v>
      </c>
      <c r="E46" s="125"/>
      <c r="F46" s="125"/>
      <c r="G46" s="125"/>
      <c r="H46" s="125"/>
      <c r="I46" s="127"/>
    </row>
    <row r="47" spans="1:11" ht="12.75" thickBot="1">
      <c r="A47" s="123"/>
      <c r="B47" s="144" t="s">
        <v>95</v>
      </c>
      <c r="C47" s="145">
        <v>6</v>
      </c>
      <c r="D47" s="146">
        <v>8</v>
      </c>
      <c r="E47" s="125"/>
      <c r="F47" s="125"/>
      <c r="G47" s="125"/>
      <c r="H47" s="125"/>
      <c r="I47" s="127"/>
    </row>
    <row r="48" spans="1:11">
      <c r="A48" s="123"/>
      <c r="B48" s="125"/>
      <c r="C48" s="125"/>
      <c r="D48" s="125"/>
      <c r="E48" s="125"/>
      <c r="F48" s="125"/>
      <c r="G48" s="125"/>
      <c r="H48" s="125"/>
      <c r="I48" s="127"/>
    </row>
    <row r="49" spans="1:9" ht="12.75" thickBot="1">
      <c r="A49" s="147"/>
      <c r="B49" s="148"/>
      <c r="C49" s="148"/>
      <c r="D49" s="148"/>
      <c r="E49" s="148"/>
      <c r="F49" s="148"/>
      <c r="G49" s="148"/>
      <c r="H49" s="148"/>
      <c r="I49" s="149"/>
    </row>
  </sheetData>
  <mergeCells count="10">
    <mergeCell ref="B20:C20"/>
    <mergeCell ref="E20:F20"/>
    <mergeCell ref="B44:D44"/>
    <mergeCell ref="B5:C5"/>
    <mergeCell ref="E2:E3"/>
    <mergeCell ref="B38:C38"/>
    <mergeCell ref="B12:C12"/>
    <mergeCell ref="E12:F12"/>
    <mergeCell ref="B26:C26"/>
    <mergeCell ref="E26:F26"/>
  </mergeCells>
  <dataValidations count="1">
    <dataValidation type="list" allowBlank="1" showInputMessage="1" showErrorMessage="1" sqref="F10:F11">
      <formula1>$L$3:$L$5</formula1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portrait" r:id="rId1"/>
  <ignoredErrors>
    <ignoredError sqref="F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9"/>
  <dimension ref="A1:AJ32"/>
  <sheetViews>
    <sheetView zoomScale="80" zoomScaleNormal="80" workbookViewId="0"/>
  </sheetViews>
  <sheetFormatPr baseColWidth="10" defaultRowHeight="15"/>
  <cols>
    <col min="1" max="1" width="4.5703125" style="84" customWidth="1"/>
    <col min="2" max="2" width="48.5703125" style="84" bestFit="1" customWidth="1"/>
    <col min="3" max="3" width="16.140625" style="84" customWidth="1"/>
    <col min="4" max="24" width="11.42578125" style="84"/>
    <col min="25" max="25" width="10.5703125" style="84" customWidth="1"/>
    <col min="26" max="16384" width="11.42578125" style="84"/>
  </cols>
  <sheetData>
    <row r="1" spans="1:36" ht="15.75" thickBot="1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3"/>
    </row>
    <row r="2" spans="1:36" ht="15.75" thickBot="1">
      <c r="A2" s="85"/>
      <c r="B2" s="31" t="s">
        <v>25</v>
      </c>
      <c r="C2" s="86"/>
      <c r="D2" s="161" t="s">
        <v>26</v>
      </c>
      <c r="E2" s="162"/>
      <c r="F2" s="162"/>
      <c r="G2" s="162"/>
      <c r="H2" s="162"/>
      <c r="I2" s="162"/>
      <c r="J2" s="162"/>
      <c r="K2" s="162"/>
      <c r="L2" s="162"/>
      <c r="M2" s="163"/>
      <c r="N2" s="86"/>
      <c r="O2" s="161" t="s">
        <v>96</v>
      </c>
      <c r="P2" s="162"/>
      <c r="Q2" s="162"/>
      <c r="R2" s="162"/>
      <c r="S2" s="162"/>
      <c r="T2" s="162"/>
      <c r="U2" s="162"/>
      <c r="V2" s="162"/>
      <c r="W2" s="162"/>
      <c r="X2" s="163"/>
      <c r="Y2" s="86"/>
      <c r="Z2" s="161" t="s">
        <v>97</v>
      </c>
      <c r="AA2" s="162"/>
      <c r="AB2" s="162"/>
      <c r="AC2" s="162"/>
      <c r="AD2" s="162"/>
      <c r="AE2" s="162"/>
      <c r="AF2" s="162"/>
      <c r="AG2" s="162"/>
      <c r="AH2" s="162"/>
      <c r="AI2" s="163"/>
      <c r="AJ2" s="87"/>
    </row>
    <row r="3" spans="1:36" ht="30.75" customHeight="1" thickBot="1">
      <c r="A3" s="85"/>
      <c r="B3" s="88" t="str">
        <f>'Supuestos Iniciales'!F10</f>
        <v>Miles de Euros</v>
      </c>
      <c r="C3" s="101" t="str">
        <f>'Supuestos Iniciales'!F9</f>
        <v>2008</v>
      </c>
      <c r="D3" s="92">
        <f>C3+1</f>
        <v>2009</v>
      </c>
      <c r="E3" s="92">
        <f t="shared" ref="E3:M3" si="0">D3+1</f>
        <v>2010</v>
      </c>
      <c r="F3" s="92">
        <f t="shared" si="0"/>
        <v>2011</v>
      </c>
      <c r="G3" s="92">
        <f t="shared" si="0"/>
        <v>2012</v>
      </c>
      <c r="H3" s="92">
        <f t="shared" si="0"/>
        <v>2013</v>
      </c>
      <c r="I3" s="92">
        <f t="shared" si="0"/>
        <v>2014</v>
      </c>
      <c r="J3" s="92">
        <f t="shared" si="0"/>
        <v>2015</v>
      </c>
      <c r="K3" s="92">
        <f t="shared" si="0"/>
        <v>2016</v>
      </c>
      <c r="L3" s="92">
        <f t="shared" si="0"/>
        <v>2017</v>
      </c>
      <c r="M3" s="92">
        <f t="shared" si="0"/>
        <v>2018</v>
      </c>
      <c r="N3" s="86"/>
      <c r="O3" s="92">
        <f>D3</f>
        <v>2009</v>
      </c>
      <c r="P3" s="92">
        <f t="shared" ref="P3:X3" si="1">E3</f>
        <v>2010</v>
      </c>
      <c r="Q3" s="92">
        <f t="shared" si="1"/>
        <v>2011</v>
      </c>
      <c r="R3" s="92">
        <f t="shared" si="1"/>
        <v>2012</v>
      </c>
      <c r="S3" s="92">
        <f t="shared" si="1"/>
        <v>2013</v>
      </c>
      <c r="T3" s="92">
        <f t="shared" si="1"/>
        <v>2014</v>
      </c>
      <c r="U3" s="92">
        <f t="shared" si="1"/>
        <v>2015</v>
      </c>
      <c r="V3" s="92">
        <f t="shared" si="1"/>
        <v>2016</v>
      </c>
      <c r="W3" s="92">
        <f t="shared" si="1"/>
        <v>2017</v>
      </c>
      <c r="X3" s="92">
        <f t="shared" si="1"/>
        <v>2018</v>
      </c>
      <c r="Y3" s="86"/>
      <c r="Z3" s="92">
        <f>D3</f>
        <v>2009</v>
      </c>
      <c r="AA3" s="92">
        <f t="shared" ref="AA3:AI3" si="2">E3</f>
        <v>2010</v>
      </c>
      <c r="AB3" s="92">
        <f t="shared" si="2"/>
        <v>2011</v>
      </c>
      <c r="AC3" s="92">
        <f t="shared" si="2"/>
        <v>2012</v>
      </c>
      <c r="AD3" s="92">
        <f t="shared" si="2"/>
        <v>2013</v>
      </c>
      <c r="AE3" s="92">
        <f t="shared" si="2"/>
        <v>2014</v>
      </c>
      <c r="AF3" s="92">
        <f t="shared" si="2"/>
        <v>2015</v>
      </c>
      <c r="AG3" s="92">
        <f t="shared" si="2"/>
        <v>2016</v>
      </c>
      <c r="AH3" s="92">
        <f t="shared" si="2"/>
        <v>2017</v>
      </c>
      <c r="AI3" s="92">
        <f t="shared" si="2"/>
        <v>2018</v>
      </c>
      <c r="AJ3" s="87"/>
    </row>
    <row r="4" spans="1:36" ht="15.75" thickBot="1">
      <c r="A4" s="85"/>
      <c r="B4" s="65" t="s">
        <v>4</v>
      </c>
      <c r="C4" s="27">
        <f t="shared" ref="C4:M4" si="3">C6+C11</f>
        <v>69265.459999999992</v>
      </c>
      <c r="D4" s="27">
        <f t="shared" si="3"/>
        <v>70691.784400000004</v>
      </c>
      <c r="E4" s="27">
        <f t="shared" si="3"/>
        <v>72175.161776000008</v>
      </c>
      <c r="F4" s="27">
        <f t="shared" si="3"/>
        <v>73717.874247040003</v>
      </c>
      <c r="G4" s="27">
        <f t="shared" si="3"/>
        <v>75322.29521692163</v>
      </c>
      <c r="H4" s="27">
        <f t="shared" si="3"/>
        <v>76990.893025598474</v>
      </c>
      <c r="I4" s="27">
        <f t="shared" si="3"/>
        <v>78726.234746622416</v>
      </c>
      <c r="J4" s="27">
        <f t="shared" si="3"/>
        <v>80530.990136487322</v>
      </c>
      <c r="K4" s="27">
        <f t="shared" si="3"/>
        <v>82407.935741946814</v>
      </c>
      <c r="L4" s="27">
        <f t="shared" si="3"/>
        <v>84359.95917162468</v>
      </c>
      <c r="M4" s="27">
        <f t="shared" si="3"/>
        <v>86390.063538489674</v>
      </c>
      <c r="N4" s="86"/>
      <c r="O4" s="27">
        <f t="shared" ref="O4:X4" si="4">O6+O11</f>
        <v>79962.892999999996</v>
      </c>
      <c r="P4" s="27">
        <f t="shared" si="4"/>
        <v>81817.114720000012</v>
      </c>
      <c r="Q4" s="27">
        <f t="shared" si="4"/>
        <v>83745.505308800028</v>
      </c>
      <c r="R4" s="27">
        <f t="shared" si="4"/>
        <v>85751.031521152021</v>
      </c>
      <c r="S4" s="27">
        <f t="shared" si="4"/>
        <v>87836.778781998102</v>
      </c>
      <c r="T4" s="27">
        <f t="shared" si="4"/>
        <v>90005.955933278019</v>
      </c>
      <c r="U4" s="27">
        <f t="shared" si="4"/>
        <v>92261.900170609151</v>
      </c>
      <c r="V4" s="27">
        <f t="shared" si="4"/>
        <v>94608.08217743352</v>
      </c>
      <c r="W4" s="27">
        <f t="shared" si="4"/>
        <v>97048.111464530855</v>
      </c>
      <c r="X4" s="27">
        <f t="shared" si="4"/>
        <v>99585.741923112088</v>
      </c>
      <c r="Y4" s="86"/>
      <c r="Z4" s="27">
        <f t="shared" ref="Z4:AI4" si="5">Z6+Z11</f>
        <v>61420.675799999997</v>
      </c>
      <c r="AA4" s="27">
        <f t="shared" si="5"/>
        <v>62533.208832000004</v>
      </c>
      <c r="AB4" s="27">
        <f t="shared" si="5"/>
        <v>63690.243185280007</v>
      </c>
      <c r="AC4" s="27">
        <f t="shared" si="5"/>
        <v>64893.558912691202</v>
      </c>
      <c r="AD4" s="27">
        <f t="shared" si="5"/>
        <v>66145.007269198861</v>
      </c>
      <c r="AE4" s="27">
        <f t="shared" si="5"/>
        <v>67446.513559966814</v>
      </c>
      <c r="AF4" s="27">
        <f t="shared" si="5"/>
        <v>68800.080102365493</v>
      </c>
      <c r="AG4" s="27">
        <f t="shared" si="5"/>
        <v>70207.789306460094</v>
      </c>
      <c r="AH4" s="27">
        <f t="shared" si="5"/>
        <v>71671.806878718518</v>
      </c>
      <c r="AI4" s="27">
        <f t="shared" si="5"/>
        <v>73194.385153867261</v>
      </c>
      <c r="AJ4" s="87"/>
    </row>
    <row r="5" spans="1:36" ht="15.75" thickBot="1">
      <c r="A5" s="85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7"/>
    </row>
    <row r="6" spans="1:36">
      <c r="A6" s="85"/>
      <c r="B6" s="52" t="s">
        <v>36</v>
      </c>
      <c r="C6" s="60">
        <f>+C7+C8+C9+C10</f>
        <v>55035.6</v>
      </c>
      <c r="D6" s="60">
        <f t="shared" ref="D6:M6" si="6">+D7+D8+D9+D10</f>
        <v>54797.731</v>
      </c>
      <c r="E6" s="60">
        <f t="shared" si="6"/>
        <v>54683.227250000004</v>
      </c>
      <c r="F6" s="60">
        <f t="shared" si="6"/>
        <v>54698.257012500006</v>
      </c>
      <c r="G6" s="60">
        <f t="shared" si="6"/>
        <v>54849.296963125002</v>
      </c>
      <c r="H6" s="60">
        <f t="shared" si="6"/>
        <v>55143.147611281252</v>
      </c>
      <c r="I6" s="60">
        <f t="shared" si="6"/>
        <v>55586.949491845327</v>
      </c>
      <c r="J6" s="60">
        <f t="shared" si="6"/>
        <v>56188.2001664376</v>
      </c>
      <c r="K6" s="60">
        <f t="shared" si="6"/>
        <v>56954.772074759487</v>
      </c>
      <c r="L6" s="60">
        <f t="shared" si="6"/>
        <v>57894.931278497461</v>
      </c>
      <c r="M6" s="53">
        <f t="shared" si="6"/>
        <v>59017.357142422334</v>
      </c>
      <c r="N6" s="22"/>
      <c r="O6" s="52">
        <f t="shared" ref="O6" si="7">+O7+O8+O9+O10</f>
        <v>57523.659950000001</v>
      </c>
      <c r="P6" s="60">
        <f t="shared" ref="P6" si="8">+P7+P8+P9+P10</f>
        <v>57673.948412500002</v>
      </c>
      <c r="Q6" s="60">
        <f t="shared" ref="Q6" si="9">+Q7+Q8+Q9+Q10</f>
        <v>57960.247063124996</v>
      </c>
      <c r="R6" s="60">
        <f t="shared" ref="R6" si="10">+R7+R8+R9+R10</f>
        <v>58389.356411281246</v>
      </c>
      <c r="S6" s="60">
        <f t="shared" ref="S6" si="11">+S7+S8+S9+S10</f>
        <v>58968.416991845326</v>
      </c>
      <c r="T6" s="60">
        <f t="shared" ref="T6" si="12">+T7+T8+T9+T10</f>
        <v>59704.92636643759</v>
      </c>
      <c r="U6" s="60">
        <f t="shared" ref="U6" si="13">+U7+U8+U9+U10</f>
        <v>60606.756974759483</v>
      </c>
      <c r="V6" s="60">
        <f t="shared" ref="V6" si="14">+V7+V8+V9+V10</f>
        <v>61682.174878497448</v>
      </c>
      <c r="W6" s="60">
        <f t="shared" ref="W6" si="15">+W7+W8+W9+W10</f>
        <v>62939.859442422327</v>
      </c>
      <c r="X6" s="53">
        <f t="shared" ref="X6" si="16">+X7+X8+X9+X10</f>
        <v>64388.923999543433</v>
      </c>
      <c r="Y6" s="22"/>
      <c r="Z6" s="52">
        <f t="shared" ref="Z6" si="17">+Z7+Z8+Z9+Z10</f>
        <v>52071.802049999998</v>
      </c>
      <c r="AA6" s="60">
        <f t="shared" ref="AA6" si="18">+AA7+AA8+AA9+AA10</f>
        <v>51692.506087499998</v>
      </c>
      <c r="AB6" s="60">
        <f t="shared" ref="AB6" si="19">+AB7+AB8+AB9+AB10</f>
        <v>51436.266961875001</v>
      </c>
      <c r="AC6" s="60">
        <f t="shared" ref="AC6" si="20">+AC7+AC8+AC9+AC10</f>
        <v>51309.237514968758</v>
      </c>
      <c r="AD6" s="60">
        <f t="shared" ref="AD6" si="21">+AD7+AD8+AD9+AD10</f>
        <v>51317.878230717186</v>
      </c>
      <c r="AE6" s="60">
        <f t="shared" ref="AE6" si="22">+AE7+AE8+AE9+AE10</f>
        <v>51468.97261725305</v>
      </c>
      <c r="AF6" s="60">
        <f t="shared" ref="AF6" si="23">+AF7+AF8+AF9+AF10</f>
        <v>51769.643358115703</v>
      </c>
      <c r="AG6" s="60">
        <f t="shared" ref="AG6" si="24">+AG7+AG8+AG9+AG10</f>
        <v>52227.369271021496</v>
      </c>
      <c r="AH6" s="60">
        <f t="shared" ref="AH6" si="25">+AH7+AH8+AH9+AH10</f>
        <v>52850.003114572573</v>
      </c>
      <c r="AI6" s="53">
        <f t="shared" ref="AI6" si="26">+AI7+AI8+AI9+AI10</f>
        <v>53645.790285301206</v>
      </c>
      <c r="AJ6" s="87"/>
    </row>
    <row r="7" spans="1:36">
      <c r="A7" s="85"/>
      <c r="B7" s="54" t="s">
        <v>37</v>
      </c>
      <c r="C7" s="66">
        <v>5689.5</v>
      </c>
      <c r="D7" s="61">
        <f>C7*(1+'Supuestos Iniciales'!$C$13)</f>
        <v>5689.5</v>
      </c>
      <c r="E7" s="61">
        <f>D7*(1+'Supuestos Iniciales'!$C$13)</f>
        <v>5689.5</v>
      </c>
      <c r="F7" s="61">
        <f>E7*(1+'Supuestos Iniciales'!$C$13)</f>
        <v>5689.5</v>
      </c>
      <c r="G7" s="61">
        <f>F7*(1+'Supuestos Iniciales'!$C$13)</f>
        <v>5689.5</v>
      </c>
      <c r="H7" s="61">
        <f>G7*(1+'Supuestos Iniciales'!$C$13)</f>
        <v>5689.5</v>
      </c>
      <c r="I7" s="61">
        <f>H7*(1+'Supuestos Iniciales'!$C$13)</f>
        <v>5689.5</v>
      </c>
      <c r="J7" s="61">
        <f>I7*(1+'Supuestos Iniciales'!$C$13)</f>
        <v>5689.5</v>
      </c>
      <c r="K7" s="61">
        <f>J7*(1+'Supuestos Iniciales'!$C$13)</f>
        <v>5689.5</v>
      </c>
      <c r="L7" s="61">
        <f>K7*(1+'Supuestos Iniciales'!$C$13)</f>
        <v>5689.5</v>
      </c>
      <c r="M7" s="55">
        <f>L7*(1+'Supuestos Iniciales'!$C$13)</f>
        <v>5689.5</v>
      </c>
      <c r="N7" s="22"/>
      <c r="O7" s="67">
        <f>D7*(1+'Supuestos Iniciales'!$C$27)</f>
        <v>5689.5</v>
      </c>
      <c r="P7" s="61">
        <f>E7*(1+'Supuestos Iniciales'!$C$27)</f>
        <v>5689.5</v>
      </c>
      <c r="Q7" s="61">
        <f>F7*(1+'Supuestos Iniciales'!$C$27)</f>
        <v>5689.5</v>
      </c>
      <c r="R7" s="61">
        <f>G7*(1+'Supuestos Iniciales'!$C$27)</f>
        <v>5689.5</v>
      </c>
      <c r="S7" s="61">
        <f>H7*(1+'Supuestos Iniciales'!$C$27)</f>
        <v>5689.5</v>
      </c>
      <c r="T7" s="61">
        <f>I7*(1+'Supuestos Iniciales'!$C$27)</f>
        <v>5689.5</v>
      </c>
      <c r="U7" s="61">
        <f>J7*(1+'Supuestos Iniciales'!$C$27)</f>
        <v>5689.5</v>
      </c>
      <c r="V7" s="61">
        <f>K7*(1+'Supuestos Iniciales'!$C$27)</f>
        <v>5689.5</v>
      </c>
      <c r="W7" s="61">
        <f>L7*(1+'Supuestos Iniciales'!$C$27)</f>
        <v>5689.5</v>
      </c>
      <c r="X7" s="55">
        <f>M7*(1+'Supuestos Iniciales'!$C$27)</f>
        <v>5689.5</v>
      </c>
      <c r="Y7" s="22"/>
      <c r="Z7" s="67">
        <f>D7*(1+'Supuestos Iniciales'!$F$27)</f>
        <v>5689.5</v>
      </c>
      <c r="AA7" s="61">
        <f>E7*(1+'Supuestos Iniciales'!$F$27)</f>
        <v>5689.5</v>
      </c>
      <c r="AB7" s="61">
        <f>F7*(1+'Supuestos Iniciales'!$F$27)</f>
        <v>5689.5</v>
      </c>
      <c r="AC7" s="61">
        <f>G7*(1+'Supuestos Iniciales'!$F$27)</f>
        <v>5689.5</v>
      </c>
      <c r="AD7" s="61">
        <f>H7*(1+'Supuestos Iniciales'!$F$27)</f>
        <v>5689.5</v>
      </c>
      <c r="AE7" s="61">
        <f>I7*(1+'Supuestos Iniciales'!$F$27)</f>
        <v>5689.5</v>
      </c>
      <c r="AF7" s="61">
        <f>J7*(1+'Supuestos Iniciales'!$F$27)</f>
        <v>5689.5</v>
      </c>
      <c r="AG7" s="61">
        <f>K7*(1+'Supuestos Iniciales'!$F$27)</f>
        <v>5689.5</v>
      </c>
      <c r="AH7" s="61">
        <f>L7*(1+'Supuestos Iniciales'!$F$27)</f>
        <v>5689.5</v>
      </c>
      <c r="AI7" s="55">
        <f>M7*(1+'Supuestos Iniciales'!$F$27)</f>
        <v>5689.5</v>
      </c>
      <c r="AJ7" s="87"/>
    </row>
    <row r="8" spans="1:36">
      <c r="A8" s="85"/>
      <c r="B8" s="54" t="s">
        <v>38</v>
      </c>
      <c r="C8" s="66">
        <v>49346.1</v>
      </c>
      <c r="D8" s="61">
        <f>C8*(1+'Supuestos Iniciales'!$C$14)</f>
        <v>51813.404999999999</v>
      </c>
      <c r="E8" s="61">
        <f>D8*(1+'Supuestos Iniciales'!$C$14)</f>
        <v>54404.075250000002</v>
      </c>
      <c r="F8" s="61">
        <f>E8*(1+'Supuestos Iniciales'!$C$14)</f>
        <v>57124.279012500003</v>
      </c>
      <c r="G8" s="61">
        <f>F8*(1+'Supuestos Iniciales'!$C$14)</f>
        <v>59980.492963125005</v>
      </c>
      <c r="H8" s="61">
        <f>G8*(1+'Supuestos Iniciales'!$C$14)</f>
        <v>62979.517611281255</v>
      </c>
      <c r="I8" s="61">
        <f>H8*(1+'Supuestos Iniciales'!$C$14)</f>
        <v>66128.493491845322</v>
      </c>
      <c r="J8" s="61">
        <f>I8*(1+'Supuestos Iniciales'!$C$14)</f>
        <v>69434.918166437594</v>
      </c>
      <c r="K8" s="61">
        <f>J8*(1+'Supuestos Iniciales'!$C$14)</f>
        <v>72906.664074759479</v>
      </c>
      <c r="L8" s="61">
        <f>K8*(1+'Supuestos Iniciales'!$C$14)</f>
        <v>76551.997278497452</v>
      </c>
      <c r="M8" s="55">
        <f>L8*(1+'Supuestos Iniciales'!$C$14)</f>
        <v>80379.597142422324</v>
      </c>
      <c r="N8" s="22"/>
      <c r="O8" s="67">
        <f>D8*(1+'Supuestos Iniciales'!$C$28)</f>
        <v>54404.075250000002</v>
      </c>
      <c r="P8" s="61">
        <f>E8*(1+'Supuestos Iniciales'!$C$28)</f>
        <v>57124.279012500003</v>
      </c>
      <c r="Q8" s="61">
        <f>F8*(1+'Supuestos Iniciales'!$C$28)</f>
        <v>59980.492963125005</v>
      </c>
      <c r="R8" s="61">
        <f>G8*(1+'Supuestos Iniciales'!$C$28)</f>
        <v>62979.517611281255</v>
      </c>
      <c r="S8" s="61">
        <f>H8*(1+'Supuestos Iniciales'!$C$28)</f>
        <v>66128.493491845322</v>
      </c>
      <c r="T8" s="61">
        <f>I8*(1+'Supuestos Iniciales'!$C$28)</f>
        <v>69434.918166437594</v>
      </c>
      <c r="U8" s="61">
        <f>J8*(1+'Supuestos Iniciales'!$C$28)</f>
        <v>72906.664074759479</v>
      </c>
      <c r="V8" s="61">
        <f>K8*(1+'Supuestos Iniciales'!$C$28)</f>
        <v>76551.997278497452</v>
      </c>
      <c r="W8" s="61">
        <f>L8*(1+'Supuestos Iniciales'!$C$28)</f>
        <v>80379.597142422324</v>
      </c>
      <c r="X8" s="55">
        <f>M8*(1+'Supuestos Iniciales'!$C$28)</f>
        <v>84398.576999543438</v>
      </c>
      <c r="Y8" s="22"/>
      <c r="Z8" s="67">
        <f>D8*(1+'Supuestos Iniciales'!$F$28)</f>
        <v>49222.734749999996</v>
      </c>
      <c r="AA8" s="61">
        <f>E8*(1+'Supuestos Iniciales'!$F$28)</f>
        <v>51683.871487500001</v>
      </c>
      <c r="AB8" s="61">
        <f>F8*(1+'Supuestos Iniciales'!$F$28)</f>
        <v>54268.065061875001</v>
      </c>
      <c r="AC8" s="61">
        <f>G8*(1+'Supuestos Iniciales'!$F$28)</f>
        <v>56981.468314968755</v>
      </c>
      <c r="AD8" s="61">
        <f>H8*(1+'Supuestos Iniciales'!$F$28)</f>
        <v>59830.541730717188</v>
      </c>
      <c r="AE8" s="61">
        <f>I8*(1+'Supuestos Iniciales'!$F$28)</f>
        <v>62822.06881725305</v>
      </c>
      <c r="AF8" s="61">
        <f>J8*(1+'Supuestos Iniciales'!$F$28)</f>
        <v>65963.172258115708</v>
      </c>
      <c r="AG8" s="61">
        <f>K8*(1+'Supuestos Iniciales'!$F$28)</f>
        <v>69261.330871021506</v>
      </c>
      <c r="AH8" s="61">
        <f>L8*(1+'Supuestos Iniciales'!$F$28)</f>
        <v>72724.397414572581</v>
      </c>
      <c r="AI8" s="55">
        <f>M8*(1+'Supuestos Iniciales'!$F$28)</f>
        <v>76360.61728530121</v>
      </c>
      <c r="AJ8" s="87"/>
    </row>
    <row r="9" spans="1:36">
      <c r="A9" s="85"/>
      <c r="B9" s="78" t="s">
        <v>67</v>
      </c>
      <c r="C9" s="66">
        <v>0</v>
      </c>
      <c r="D9" s="61">
        <f>C9-PyG_10!D6</f>
        <v>-2705.174</v>
      </c>
      <c r="E9" s="61">
        <f>D9-PyG_10!E6</f>
        <v>-5410.348</v>
      </c>
      <c r="F9" s="61">
        <f>E9-PyG_10!F6</f>
        <v>-8115.5219999999999</v>
      </c>
      <c r="G9" s="61">
        <f>F9-PyG_10!G6</f>
        <v>-10820.696</v>
      </c>
      <c r="H9" s="61">
        <f>G9-PyG_10!H6</f>
        <v>-13525.869999999999</v>
      </c>
      <c r="I9" s="61">
        <f>H9-PyG_10!I6</f>
        <v>-16231.043999999998</v>
      </c>
      <c r="J9" s="61">
        <f>I9-PyG_10!J6</f>
        <v>-18936.217999999997</v>
      </c>
      <c r="K9" s="61">
        <f>J9-PyG_10!K6</f>
        <v>-21641.391999999996</v>
      </c>
      <c r="L9" s="61">
        <f>K9-PyG_10!L6</f>
        <v>-24346.565999999995</v>
      </c>
      <c r="M9" s="55">
        <f>L9-PyG_10!M6</f>
        <v>-27051.739999999994</v>
      </c>
      <c r="N9" s="86"/>
      <c r="O9" s="67">
        <f>C9-PyG_10!D15</f>
        <v>-2569.9152999999997</v>
      </c>
      <c r="P9" s="61">
        <f>O9-PyG_10!E15</f>
        <v>-5139.8305999999993</v>
      </c>
      <c r="Q9" s="61">
        <f>P9-PyG_10!F15</f>
        <v>-7709.745899999999</v>
      </c>
      <c r="R9" s="61">
        <f>Q9-PyG_10!G15</f>
        <v>-10279.661199999999</v>
      </c>
      <c r="S9" s="61">
        <f>R9-PyG_10!H15</f>
        <v>-12849.576499999999</v>
      </c>
      <c r="T9" s="61">
        <f>S9-PyG_10!I15</f>
        <v>-15419.4918</v>
      </c>
      <c r="U9" s="61">
        <f>T9-PyG_10!J15</f>
        <v>-17989.4071</v>
      </c>
      <c r="V9" s="61">
        <f>U9-PyG_10!K15</f>
        <v>-20559.322400000001</v>
      </c>
      <c r="W9" s="61">
        <f>V9-PyG_10!L15</f>
        <v>-23129.237700000001</v>
      </c>
      <c r="X9" s="55">
        <f>W9-PyG_10!M15</f>
        <v>-25699.153000000002</v>
      </c>
      <c r="Y9" s="86"/>
      <c r="Z9" s="67">
        <f>C9-PyG_10!D24</f>
        <v>-2840.4327000000003</v>
      </c>
      <c r="AA9" s="61">
        <f>Z9-PyG_10!E24</f>
        <v>-5680.8654000000006</v>
      </c>
      <c r="AB9" s="61">
        <f>AA9-PyG_10!F24</f>
        <v>-8521.2981</v>
      </c>
      <c r="AC9" s="61">
        <f>AB9-PyG_10!G24</f>
        <v>-11361.730800000001</v>
      </c>
      <c r="AD9" s="61">
        <f>AC9-PyG_10!H24</f>
        <v>-14202.163500000002</v>
      </c>
      <c r="AE9" s="61">
        <f>AD9-PyG_10!I24</f>
        <v>-17042.596200000004</v>
      </c>
      <c r="AF9" s="61">
        <f>AE9-PyG_10!J24</f>
        <v>-19883.028900000005</v>
      </c>
      <c r="AG9" s="61">
        <f>AF9-PyG_10!K24</f>
        <v>-22723.461600000006</v>
      </c>
      <c r="AH9" s="61">
        <f>AG9-PyG_10!L24</f>
        <v>-25563.894300000007</v>
      </c>
      <c r="AI9" s="55">
        <f>AH9-PyG_10!M24</f>
        <v>-28404.327000000008</v>
      </c>
      <c r="AJ9" s="87"/>
    </row>
    <row r="10" spans="1:36">
      <c r="A10" s="85"/>
      <c r="B10" s="54" t="s">
        <v>79</v>
      </c>
      <c r="C10" s="66">
        <v>0</v>
      </c>
      <c r="D10" s="61">
        <f>C10*(1+'Supuestos Iniciales'!$C$15)</f>
        <v>0</v>
      </c>
      <c r="E10" s="61">
        <f>D10*(1+'Supuestos Iniciales'!$C$15)</f>
        <v>0</v>
      </c>
      <c r="F10" s="61">
        <f>E10*(1+'Supuestos Iniciales'!$C$15)</f>
        <v>0</v>
      </c>
      <c r="G10" s="61">
        <f>F10*(1+'Supuestos Iniciales'!$C$15)</f>
        <v>0</v>
      </c>
      <c r="H10" s="61">
        <f>G10*(1+'Supuestos Iniciales'!$C$15)</f>
        <v>0</v>
      </c>
      <c r="I10" s="61">
        <f>H10*(1+'Supuestos Iniciales'!$C$15)</f>
        <v>0</v>
      </c>
      <c r="J10" s="61">
        <f>I10*(1+'Supuestos Iniciales'!$C$15)</f>
        <v>0</v>
      </c>
      <c r="K10" s="61">
        <f>J10*(1+'Supuestos Iniciales'!$C$15)</f>
        <v>0</v>
      </c>
      <c r="L10" s="61">
        <f>K10*(1+'Supuestos Iniciales'!$C$15)</f>
        <v>0</v>
      </c>
      <c r="M10" s="55">
        <f>L10*(1+'Supuestos Iniciales'!$C$15)</f>
        <v>0</v>
      </c>
      <c r="N10" s="22"/>
      <c r="O10" s="67">
        <f>D10*(1+'Supuestos Iniciales'!$C$29)</f>
        <v>0</v>
      </c>
      <c r="P10" s="61">
        <f>E10*(1+'Supuestos Iniciales'!$C$29)</f>
        <v>0</v>
      </c>
      <c r="Q10" s="61">
        <f>F10*(1+'Supuestos Iniciales'!$C$29)</f>
        <v>0</v>
      </c>
      <c r="R10" s="61">
        <f>G10*(1+'Supuestos Iniciales'!$C$29)</f>
        <v>0</v>
      </c>
      <c r="S10" s="61">
        <f>H10*(1+'Supuestos Iniciales'!$C$29)</f>
        <v>0</v>
      </c>
      <c r="T10" s="61">
        <f>I10*(1+'Supuestos Iniciales'!$C$29)</f>
        <v>0</v>
      </c>
      <c r="U10" s="61">
        <f>J10*(1+'Supuestos Iniciales'!$C$29)</f>
        <v>0</v>
      </c>
      <c r="V10" s="61">
        <f>K10*(1+'Supuestos Iniciales'!$C$29)</f>
        <v>0</v>
      </c>
      <c r="W10" s="61">
        <f>L10*(1+'Supuestos Iniciales'!$C$29)</f>
        <v>0</v>
      </c>
      <c r="X10" s="55">
        <f>M10*(1+'Supuestos Iniciales'!$C$29)</f>
        <v>0</v>
      </c>
      <c r="Y10" s="22"/>
      <c r="Z10" s="67">
        <f>D10*(1+'Supuestos Iniciales'!$F$29)</f>
        <v>0</v>
      </c>
      <c r="AA10" s="61">
        <f>E10*(1+'Supuestos Iniciales'!$F$29)</f>
        <v>0</v>
      </c>
      <c r="AB10" s="61">
        <f>F10*(1+'Supuestos Iniciales'!$F$29)</f>
        <v>0</v>
      </c>
      <c r="AC10" s="61">
        <f>G10*(1+'Supuestos Iniciales'!$F$29)</f>
        <v>0</v>
      </c>
      <c r="AD10" s="61">
        <f>H10*(1+'Supuestos Iniciales'!$F$29)</f>
        <v>0</v>
      </c>
      <c r="AE10" s="61">
        <f>I10*(1+'Supuestos Iniciales'!$F$29)</f>
        <v>0</v>
      </c>
      <c r="AF10" s="61">
        <f>J10*(1+'Supuestos Iniciales'!$F$29)</f>
        <v>0</v>
      </c>
      <c r="AG10" s="61">
        <f>K10*(1+'Supuestos Iniciales'!$F$29)</f>
        <v>0</v>
      </c>
      <c r="AH10" s="61">
        <f>L10*(1+'Supuestos Iniciales'!$F$29)</f>
        <v>0</v>
      </c>
      <c r="AI10" s="55">
        <f>M10*(1+'Supuestos Iniciales'!$F$29)</f>
        <v>0</v>
      </c>
      <c r="AJ10" s="87"/>
    </row>
    <row r="11" spans="1:36">
      <c r="A11" s="85"/>
      <c r="B11" s="56" t="s">
        <v>39</v>
      </c>
      <c r="C11" s="62">
        <f>SUM(C12:C15)</f>
        <v>14229.86</v>
      </c>
      <c r="D11" s="62">
        <f>SUM(D12:D15)</f>
        <v>15894.053400000004</v>
      </c>
      <c r="E11" s="62">
        <f t="shared" ref="E11:M11" si="27">SUM(E12:E15)</f>
        <v>17491.934526000001</v>
      </c>
      <c r="F11" s="62">
        <f t="shared" si="27"/>
        <v>19019.617234539997</v>
      </c>
      <c r="G11" s="62">
        <f t="shared" si="27"/>
        <v>20472.998253796621</v>
      </c>
      <c r="H11" s="62">
        <f t="shared" si="27"/>
        <v>21847.745414317225</v>
      </c>
      <c r="I11" s="62">
        <f t="shared" si="27"/>
        <v>23139.285254777089</v>
      </c>
      <c r="J11" s="62">
        <f t="shared" si="27"/>
        <v>24342.789970049726</v>
      </c>
      <c r="K11" s="62">
        <f t="shared" si="27"/>
        <v>25453.163667187328</v>
      </c>
      <c r="L11" s="62">
        <f t="shared" si="27"/>
        <v>26465.027893127222</v>
      </c>
      <c r="M11" s="57">
        <f t="shared" si="27"/>
        <v>27372.706396067344</v>
      </c>
      <c r="N11" s="22"/>
      <c r="O11" s="56">
        <f>SUM(O12:O15)</f>
        <v>22439.233049999999</v>
      </c>
      <c r="P11" s="62">
        <f t="shared" ref="P11:X11" si="28">SUM(P12:P15)</f>
        <v>24143.166307500018</v>
      </c>
      <c r="Q11" s="62">
        <f t="shared" si="28"/>
        <v>25785.258245675024</v>
      </c>
      <c r="R11" s="62">
        <f t="shared" si="28"/>
        <v>27361.675109870772</v>
      </c>
      <c r="S11" s="62">
        <f t="shared" si="28"/>
        <v>28868.361790152776</v>
      </c>
      <c r="T11" s="62">
        <f t="shared" si="28"/>
        <v>30301.029566840432</v>
      </c>
      <c r="U11" s="62">
        <f t="shared" si="28"/>
        <v>31655.143195849669</v>
      </c>
      <c r="V11" s="62">
        <f t="shared" si="28"/>
        <v>32925.907298936072</v>
      </c>
      <c r="W11" s="62">
        <f t="shared" si="28"/>
        <v>34108.252022108529</v>
      </c>
      <c r="X11" s="57">
        <f t="shared" si="28"/>
        <v>35196.817923568655</v>
      </c>
      <c r="Y11" s="22"/>
      <c r="Z11" s="56">
        <f>SUM(Z12:Z15)</f>
        <v>9348.8737500000025</v>
      </c>
      <c r="AA11" s="62">
        <f t="shared" ref="AA11:AI11" si="29">SUM(AA12:AA15)</f>
        <v>10840.702744500006</v>
      </c>
      <c r="AB11" s="62">
        <f t="shared" si="29"/>
        <v>12253.976223405005</v>
      </c>
      <c r="AC11" s="62">
        <f t="shared" si="29"/>
        <v>13584.321397722446</v>
      </c>
      <c r="AD11" s="62">
        <f t="shared" si="29"/>
        <v>14827.12903848168</v>
      </c>
      <c r="AE11" s="62">
        <f t="shared" si="29"/>
        <v>15977.540942713757</v>
      </c>
      <c r="AF11" s="62">
        <f t="shared" si="29"/>
        <v>17030.436744249782</v>
      </c>
      <c r="AG11" s="62">
        <f t="shared" si="29"/>
        <v>17980.420035438605</v>
      </c>
      <c r="AH11" s="62">
        <f t="shared" si="29"/>
        <v>18821.803764145945</v>
      </c>
      <c r="AI11" s="57">
        <f t="shared" si="29"/>
        <v>19548.594868566055</v>
      </c>
      <c r="AJ11" s="87"/>
    </row>
    <row r="12" spans="1:36">
      <c r="A12" s="85"/>
      <c r="B12" s="54" t="s">
        <v>6</v>
      </c>
      <c r="C12" s="66">
        <v>429.7</v>
      </c>
      <c r="D12" s="61">
        <f>C12*(1+'Supuestos Iniciales'!$C$16)</f>
        <v>464.07600000000002</v>
      </c>
      <c r="E12" s="61">
        <f>D12*(1+'Supuestos Iniciales'!$C$16)</f>
        <v>501.20208000000008</v>
      </c>
      <c r="F12" s="61">
        <f>E12*(1+'Supuestos Iniciales'!$C$16)</f>
        <v>541.29824640000015</v>
      </c>
      <c r="G12" s="61">
        <f>F12*(1+'Supuestos Iniciales'!$C$16)</f>
        <v>584.60210611200023</v>
      </c>
      <c r="H12" s="61">
        <f>G12*(1+'Supuestos Iniciales'!$C$16)</f>
        <v>631.37027460096033</v>
      </c>
      <c r="I12" s="61">
        <f>H12*(1+'Supuestos Iniciales'!$C$16)</f>
        <v>681.87989656903721</v>
      </c>
      <c r="J12" s="61">
        <f>I12*(1+'Supuestos Iniciales'!$C$16)</f>
        <v>736.43028829456023</v>
      </c>
      <c r="K12" s="61">
        <f>J12*(1+'Supuestos Iniciales'!$C$16)</f>
        <v>795.3447113581251</v>
      </c>
      <c r="L12" s="61">
        <f>K12*(1+'Supuestos Iniciales'!$C$16)</f>
        <v>858.97228826677519</v>
      </c>
      <c r="M12" s="55">
        <f>L12*(1+'Supuestos Iniciales'!$C$16)</f>
        <v>927.69007132811726</v>
      </c>
      <c r="N12" s="22"/>
      <c r="O12" s="67">
        <f>D12*(1+'Supuestos Iniciales'!$C$30)</f>
        <v>501.20208000000008</v>
      </c>
      <c r="P12" s="61">
        <f>E12*(1+'Supuestos Iniciales'!$C$30)</f>
        <v>541.29824640000015</v>
      </c>
      <c r="Q12" s="61">
        <f>F12*(1+'Supuestos Iniciales'!$C$30)</f>
        <v>584.60210611200023</v>
      </c>
      <c r="R12" s="61">
        <f>G12*(1+'Supuestos Iniciales'!$C$30)</f>
        <v>631.37027460096033</v>
      </c>
      <c r="S12" s="61">
        <f>H12*(1+'Supuestos Iniciales'!$C$30)</f>
        <v>681.87989656903721</v>
      </c>
      <c r="T12" s="61">
        <f>I12*(1+'Supuestos Iniciales'!$C$30)</f>
        <v>736.43028829456023</v>
      </c>
      <c r="U12" s="61">
        <f>J12*(1+'Supuestos Iniciales'!$C$30)</f>
        <v>795.3447113581251</v>
      </c>
      <c r="V12" s="61">
        <f>K12*(1+'Supuestos Iniciales'!$C$30)</f>
        <v>858.97228826677519</v>
      </c>
      <c r="W12" s="61">
        <f>L12*(1+'Supuestos Iniciales'!$C$30)</f>
        <v>927.69007132811726</v>
      </c>
      <c r="X12" s="55">
        <f>M12*(1+'Supuestos Iniciales'!$C$30)</f>
        <v>1001.9052770343667</v>
      </c>
      <c r="Y12" s="22"/>
      <c r="Z12" s="67">
        <f>D12*(1+'Supuestos Iniciales'!$F$30)</f>
        <v>426.94992000000002</v>
      </c>
      <c r="AA12" s="61">
        <f>E12*(1+'Supuestos Iniciales'!$F$30)</f>
        <v>461.10591360000012</v>
      </c>
      <c r="AB12" s="61">
        <f>F12*(1+'Supuestos Iniciales'!$F$30)</f>
        <v>497.99438668800019</v>
      </c>
      <c r="AC12" s="61">
        <f>G12*(1+'Supuestos Iniciales'!$F$30)</f>
        <v>537.83393762304024</v>
      </c>
      <c r="AD12" s="61">
        <f>H12*(1+'Supuestos Iniciales'!$F$30)</f>
        <v>580.86065263288356</v>
      </c>
      <c r="AE12" s="61">
        <f>I12*(1+'Supuestos Iniciales'!$F$30)</f>
        <v>627.32950484351431</v>
      </c>
      <c r="AF12" s="61">
        <f>J12*(1+'Supuestos Iniciales'!$F$30)</f>
        <v>677.51586523099547</v>
      </c>
      <c r="AG12" s="61">
        <f>K12*(1+'Supuestos Iniciales'!$F$30)</f>
        <v>731.71713444947511</v>
      </c>
      <c r="AH12" s="61">
        <f>L12*(1+'Supuestos Iniciales'!$F$30)</f>
        <v>790.25450520543325</v>
      </c>
      <c r="AI12" s="55">
        <f>M12*(1+'Supuestos Iniciales'!$F$30)</f>
        <v>853.47486562186793</v>
      </c>
      <c r="AJ12" s="87"/>
    </row>
    <row r="13" spans="1:36">
      <c r="A13" s="85"/>
      <c r="B13" s="54" t="s">
        <v>20</v>
      </c>
      <c r="C13" s="66">
        <v>9111.1</v>
      </c>
      <c r="D13" s="61">
        <f>C13*(1+'Supuestos Iniciales'!$C$17)</f>
        <v>9748.8770000000004</v>
      </c>
      <c r="E13" s="61">
        <f>D13*(1+'Supuestos Iniciales'!$C$17)</f>
        <v>10431.298390000002</v>
      </c>
      <c r="F13" s="61">
        <f>E13*(1+'Supuestos Iniciales'!$C$17)</f>
        <v>11161.489277300003</v>
      </c>
      <c r="G13" s="61">
        <f>F13*(1+'Supuestos Iniciales'!$C$17)</f>
        <v>11942.793526711004</v>
      </c>
      <c r="H13" s="61">
        <f>G13*(1+'Supuestos Iniciales'!$C$17)</f>
        <v>12778.789073580776</v>
      </c>
      <c r="I13" s="61">
        <f>H13*(1+'Supuestos Iniciales'!$C$17)</f>
        <v>13673.304308731431</v>
      </c>
      <c r="J13" s="61">
        <f>I13*(1+'Supuestos Iniciales'!$C$17)</f>
        <v>14630.435610342633</v>
      </c>
      <c r="K13" s="61">
        <f>J13*(1+'Supuestos Iniciales'!$C$17)</f>
        <v>15654.566103066618</v>
      </c>
      <c r="L13" s="61">
        <f>K13*(1+'Supuestos Iniciales'!$C$17)</f>
        <v>16750.385730281283</v>
      </c>
      <c r="M13" s="55">
        <f>L13*(1+'Supuestos Iniciales'!$C$17)</f>
        <v>17922.912731400975</v>
      </c>
      <c r="N13" s="22"/>
      <c r="O13" s="67">
        <f>D13*(1+'Supuestos Iniciales'!$C$31)</f>
        <v>10431.298390000002</v>
      </c>
      <c r="P13" s="61">
        <f>E13*(1+'Supuestos Iniciales'!$C$31)</f>
        <v>11161.489277300003</v>
      </c>
      <c r="Q13" s="61">
        <f>F13*(1+'Supuestos Iniciales'!$C$31)</f>
        <v>11942.793526711004</v>
      </c>
      <c r="R13" s="61">
        <f>G13*(1+'Supuestos Iniciales'!$C$31)</f>
        <v>12778.789073580776</v>
      </c>
      <c r="S13" s="61">
        <f>H13*(1+'Supuestos Iniciales'!$C$31)</f>
        <v>13673.304308731431</v>
      </c>
      <c r="T13" s="61">
        <f>I13*(1+'Supuestos Iniciales'!$C$31)</f>
        <v>14630.435610342633</v>
      </c>
      <c r="U13" s="61">
        <f>J13*(1+'Supuestos Iniciales'!$C$31)</f>
        <v>15654.566103066618</v>
      </c>
      <c r="V13" s="61">
        <f>K13*(1+'Supuestos Iniciales'!$C$31)</f>
        <v>16750.385730281283</v>
      </c>
      <c r="W13" s="61">
        <f>L13*(1+'Supuestos Iniciales'!$C$31)</f>
        <v>17922.912731400975</v>
      </c>
      <c r="X13" s="55">
        <f>M13*(1+'Supuestos Iniciales'!$C$31)</f>
        <v>19177.516622599043</v>
      </c>
      <c r="Y13" s="22"/>
      <c r="Z13" s="67">
        <f>D13*(1+'Supuestos Iniciales'!$F$31)</f>
        <v>9066.4556099999991</v>
      </c>
      <c r="AA13" s="61">
        <f>E13*(1+'Supuestos Iniciales'!$F$31)</f>
        <v>9701.1075027000006</v>
      </c>
      <c r="AB13" s="61">
        <f>F13*(1+'Supuestos Iniciales'!$F$31)</f>
        <v>10380.185027889002</v>
      </c>
      <c r="AC13" s="61">
        <f>G13*(1+'Supuestos Iniciales'!$F$31)</f>
        <v>11106.797979841233</v>
      </c>
      <c r="AD13" s="61">
        <f>H13*(1+'Supuestos Iniciales'!$F$31)</f>
        <v>11884.273838430121</v>
      </c>
      <c r="AE13" s="61">
        <f>I13*(1+'Supuestos Iniciales'!$F$31)</f>
        <v>12716.173007120229</v>
      </c>
      <c r="AF13" s="61">
        <f>J13*(1+'Supuestos Iniciales'!$F$31)</f>
        <v>13606.305117618647</v>
      </c>
      <c r="AG13" s="61">
        <f>K13*(1+'Supuestos Iniciales'!$F$31)</f>
        <v>14558.746475851955</v>
      </c>
      <c r="AH13" s="61">
        <f>L13*(1+'Supuestos Iniciales'!$F$31)</f>
        <v>15577.858729161591</v>
      </c>
      <c r="AI13" s="55">
        <f>M13*(1+'Supuestos Iniciales'!$F$31)</f>
        <v>16668.308840202906</v>
      </c>
      <c r="AJ13" s="87"/>
    </row>
    <row r="14" spans="1:36">
      <c r="A14" s="85"/>
      <c r="B14" s="54" t="s">
        <v>78</v>
      </c>
      <c r="C14" s="68">
        <v>0</v>
      </c>
      <c r="D14" s="61">
        <f>C14*(1+'Supuestos Iniciales'!$C$18)</f>
        <v>0</v>
      </c>
      <c r="E14" s="61">
        <f>D14*(1+'Supuestos Iniciales'!$C$18)</f>
        <v>0</v>
      </c>
      <c r="F14" s="61">
        <f>E14*(1+'Supuestos Iniciales'!$C$18)</f>
        <v>0</v>
      </c>
      <c r="G14" s="61">
        <f>F14*(1+'Supuestos Iniciales'!$C$18)</f>
        <v>0</v>
      </c>
      <c r="H14" s="61">
        <f>G14*(1+'Supuestos Iniciales'!$C$18)</f>
        <v>0</v>
      </c>
      <c r="I14" s="61">
        <f>H14*(1+'Supuestos Iniciales'!$C$18)</f>
        <v>0</v>
      </c>
      <c r="J14" s="61">
        <f>I14*(1+'Supuestos Iniciales'!$C$18)</f>
        <v>0</v>
      </c>
      <c r="K14" s="61">
        <f>J14*(1+'Supuestos Iniciales'!$C$18)</f>
        <v>0</v>
      </c>
      <c r="L14" s="61">
        <f>K14*(1+'Supuestos Iniciales'!$C$18)</f>
        <v>0</v>
      </c>
      <c r="M14" s="55">
        <f>L14*(1+'Supuestos Iniciales'!$C$18)</f>
        <v>0</v>
      </c>
      <c r="N14" s="22"/>
      <c r="O14" s="67">
        <f>D14*(1+'Supuestos Iniciales'!$C$32)</f>
        <v>0</v>
      </c>
      <c r="P14" s="61">
        <f>E14*(1+'Supuestos Iniciales'!$C$32)</f>
        <v>0</v>
      </c>
      <c r="Q14" s="61">
        <f>F14*(1+'Supuestos Iniciales'!$C$32)</f>
        <v>0</v>
      </c>
      <c r="R14" s="61">
        <f>G14*(1+'Supuestos Iniciales'!$C$32)</f>
        <v>0</v>
      </c>
      <c r="S14" s="61">
        <f>H14*(1+'Supuestos Iniciales'!$C$32)</f>
        <v>0</v>
      </c>
      <c r="T14" s="61">
        <f>I14*(1+'Supuestos Iniciales'!$C$32)</f>
        <v>0</v>
      </c>
      <c r="U14" s="61">
        <f>J14*(1+'Supuestos Iniciales'!$C$32)</f>
        <v>0</v>
      </c>
      <c r="V14" s="61">
        <f>K14*(1+'Supuestos Iniciales'!$C$32)</f>
        <v>0</v>
      </c>
      <c r="W14" s="61">
        <f>L14*(1+'Supuestos Iniciales'!$C$32)</f>
        <v>0</v>
      </c>
      <c r="X14" s="55">
        <f>M14*(1+'Supuestos Iniciales'!$C$32)</f>
        <v>0</v>
      </c>
      <c r="Y14" s="22"/>
      <c r="Z14" s="67">
        <f>D14*(1+'Supuestos Iniciales'!$F$32)</f>
        <v>0</v>
      </c>
      <c r="AA14" s="61">
        <f>E14*(1+'Supuestos Iniciales'!$F$32)</f>
        <v>0</v>
      </c>
      <c r="AB14" s="61">
        <f>F14*(1+'Supuestos Iniciales'!$F$32)</f>
        <v>0</v>
      </c>
      <c r="AC14" s="61">
        <f>G14*(1+'Supuestos Iniciales'!$F$32)</f>
        <v>0</v>
      </c>
      <c r="AD14" s="61">
        <f>H14*(1+'Supuestos Iniciales'!$F$32)</f>
        <v>0</v>
      </c>
      <c r="AE14" s="61">
        <f>I14*(1+'Supuestos Iniciales'!$F$32)</f>
        <v>0</v>
      </c>
      <c r="AF14" s="61">
        <f>J14*(1+'Supuestos Iniciales'!$F$32)</f>
        <v>0</v>
      </c>
      <c r="AG14" s="61">
        <f>K14*(1+'Supuestos Iniciales'!$F$32)</f>
        <v>0</v>
      </c>
      <c r="AH14" s="61">
        <f>L14*(1+'Supuestos Iniciales'!$F$32)</f>
        <v>0</v>
      </c>
      <c r="AI14" s="55">
        <f>M14*(1+'Supuestos Iniciales'!$F$32)</f>
        <v>0</v>
      </c>
      <c r="AJ14" s="87"/>
    </row>
    <row r="15" spans="1:36" ht="15.75" thickBot="1">
      <c r="A15" s="85"/>
      <c r="B15" s="58" t="s">
        <v>7</v>
      </c>
      <c r="C15" s="69">
        <v>4689.0600000000004</v>
      </c>
      <c r="D15" s="64">
        <f>D18-D14-D13-D12-D6</f>
        <v>5681.100400000003</v>
      </c>
      <c r="E15" s="64">
        <f t="shared" ref="E15:M15" si="30">E18-E14-E13-E12-E6</f>
        <v>6559.4340559999982</v>
      </c>
      <c r="F15" s="64">
        <f t="shared" si="30"/>
        <v>7316.8297108399929</v>
      </c>
      <c r="G15" s="64">
        <f t="shared" si="30"/>
        <v>7945.6026209736156</v>
      </c>
      <c r="H15" s="64">
        <f t="shared" si="30"/>
        <v>8437.5860661354891</v>
      </c>
      <c r="I15" s="64">
        <f t="shared" si="30"/>
        <v>8784.1010494766233</v>
      </c>
      <c r="J15" s="64">
        <f t="shared" si="30"/>
        <v>8975.9240714125335</v>
      </c>
      <c r="K15" s="64">
        <f t="shared" si="30"/>
        <v>9003.2528527625836</v>
      </c>
      <c r="L15" s="64">
        <f t="shared" si="30"/>
        <v>8855.6698745791655</v>
      </c>
      <c r="M15" s="59">
        <f t="shared" si="30"/>
        <v>8522.1035933382518</v>
      </c>
      <c r="N15" s="22"/>
      <c r="O15" s="58">
        <f>O18-O14-O13-O12-O6</f>
        <v>11506.732579999996</v>
      </c>
      <c r="P15" s="64">
        <f t="shared" ref="P15:X15" si="31">P18-P14-P13-P12-P6</f>
        <v>12440.378783800013</v>
      </c>
      <c r="Q15" s="64">
        <f t="shared" si="31"/>
        <v>13257.862612852019</v>
      </c>
      <c r="R15" s="64">
        <f t="shared" si="31"/>
        <v>13951.515761689036</v>
      </c>
      <c r="S15" s="64">
        <f t="shared" si="31"/>
        <v>14513.17758485231</v>
      </c>
      <c r="T15" s="64">
        <f t="shared" si="31"/>
        <v>14934.16366820324</v>
      </c>
      <c r="U15" s="64">
        <f t="shared" si="31"/>
        <v>15205.232381424925</v>
      </c>
      <c r="V15" s="64">
        <f t="shared" si="31"/>
        <v>15316.549280388019</v>
      </c>
      <c r="W15" s="64">
        <f t="shared" si="31"/>
        <v>15257.64921937944</v>
      </c>
      <c r="X15" s="59">
        <f t="shared" si="31"/>
        <v>15017.396023935245</v>
      </c>
      <c r="Y15" s="22"/>
      <c r="Z15" s="58">
        <f>Z18-Z14-Z13-Z12-Z6</f>
        <v>-144.53177999999753</v>
      </c>
      <c r="AA15" s="64">
        <f t="shared" ref="AA15:AI15" si="32">AA18-AA14-AA13-AA12-AA6</f>
        <v>678.48932820000482</v>
      </c>
      <c r="AB15" s="64">
        <f t="shared" si="32"/>
        <v>1375.7968088280031</v>
      </c>
      <c r="AC15" s="64">
        <f t="shared" si="32"/>
        <v>1939.6894802581737</v>
      </c>
      <c r="AD15" s="64">
        <f t="shared" si="32"/>
        <v>2361.9945474186752</v>
      </c>
      <c r="AE15" s="64">
        <f t="shared" si="32"/>
        <v>2634.0384307500135</v>
      </c>
      <c r="AF15" s="64">
        <f t="shared" si="32"/>
        <v>2746.6157614001422</v>
      </c>
      <c r="AG15" s="64">
        <f t="shared" si="32"/>
        <v>2689.9564251371776</v>
      </c>
      <c r="AH15" s="64">
        <f t="shared" si="32"/>
        <v>2453.6905297789199</v>
      </c>
      <c r="AI15" s="59">
        <f t="shared" si="32"/>
        <v>2026.81116274128</v>
      </c>
      <c r="AJ15" s="87"/>
    </row>
    <row r="16" spans="1:36">
      <c r="A16" s="85"/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22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22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7"/>
    </row>
    <row r="17" spans="1:36" ht="15.75" thickBot="1">
      <c r="A17" s="85"/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22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22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7"/>
    </row>
    <row r="18" spans="1:36" ht="15.75" thickBot="1">
      <c r="A18" s="85"/>
      <c r="B18" s="27" t="s">
        <v>76</v>
      </c>
      <c r="C18" s="27">
        <f t="shared" ref="C18" si="33">C20+C21+C22</f>
        <v>69265.460000000006</v>
      </c>
      <c r="D18" s="27">
        <f>D20+D21+D22</f>
        <v>70691.784400000004</v>
      </c>
      <c r="E18" s="27">
        <f>E20+E21+E22</f>
        <v>72175.161776000008</v>
      </c>
      <c r="F18" s="27">
        <f t="shared" ref="F18:M18" si="34">F20+F21+F22</f>
        <v>73717.874247040003</v>
      </c>
      <c r="G18" s="27">
        <f t="shared" si="34"/>
        <v>75322.295216921615</v>
      </c>
      <c r="H18" s="27">
        <f t="shared" si="34"/>
        <v>76990.893025598474</v>
      </c>
      <c r="I18" s="27">
        <f t="shared" si="34"/>
        <v>78726.234746622416</v>
      </c>
      <c r="J18" s="27">
        <f t="shared" si="34"/>
        <v>80530.990136487322</v>
      </c>
      <c r="K18" s="27">
        <f t="shared" si="34"/>
        <v>82407.935741946814</v>
      </c>
      <c r="L18" s="27">
        <f t="shared" si="34"/>
        <v>84359.95917162468</v>
      </c>
      <c r="M18" s="27">
        <f t="shared" si="34"/>
        <v>86390.063538489674</v>
      </c>
      <c r="N18" s="22"/>
      <c r="O18" s="27">
        <f t="shared" ref="O18" si="35">O20+O21+O22</f>
        <v>79962.892999999996</v>
      </c>
      <c r="P18" s="27">
        <f t="shared" ref="P18:X18" si="36">P20+P21+P22</f>
        <v>81817.114720000012</v>
      </c>
      <c r="Q18" s="27">
        <f t="shared" si="36"/>
        <v>83745.505308800013</v>
      </c>
      <c r="R18" s="27">
        <f t="shared" si="36"/>
        <v>85751.031521152021</v>
      </c>
      <c r="S18" s="27">
        <f t="shared" si="36"/>
        <v>87836.778781998102</v>
      </c>
      <c r="T18" s="27">
        <f t="shared" si="36"/>
        <v>90005.955933278019</v>
      </c>
      <c r="U18" s="27">
        <f t="shared" si="36"/>
        <v>92261.900170609151</v>
      </c>
      <c r="V18" s="27">
        <f t="shared" si="36"/>
        <v>94608.08217743352</v>
      </c>
      <c r="W18" s="27">
        <f t="shared" si="36"/>
        <v>97048.111464530855</v>
      </c>
      <c r="X18" s="27">
        <f t="shared" si="36"/>
        <v>99585.741923112088</v>
      </c>
      <c r="Y18" s="22"/>
      <c r="Z18" s="27">
        <f>Z20+Z21+Z22</f>
        <v>61420.675799999997</v>
      </c>
      <c r="AA18" s="27">
        <f t="shared" ref="AA18:AI18" si="37">AA20+AA21+AA22</f>
        <v>62533.208832000004</v>
      </c>
      <c r="AB18" s="27">
        <f t="shared" si="37"/>
        <v>63690.243185280007</v>
      </c>
      <c r="AC18" s="27">
        <f t="shared" si="37"/>
        <v>64893.558912691209</v>
      </c>
      <c r="AD18" s="27">
        <f t="shared" si="37"/>
        <v>66145.007269198861</v>
      </c>
      <c r="AE18" s="27">
        <f t="shared" si="37"/>
        <v>67446.513559966814</v>
      </c>
      <c r="AF18" s="27">
        <f t="shared" si="37"/>
        <v>68800.080102365493</v>
      </c>
      <c r="AG18" s="27">
        <f t="shared" si="37"/>
        <v>70207.789306460108</v>
      </c>
      <c r="AH18" s="27">
        <f t="shared" si="37"/>
        <v>71671.806878718518</v>
      </c>
      <c r="AI18" s="27">
        <f t="shared" si="37"/>
        <v>73194.385153867261</v>
      </c>
      <c r="AJ18" s="87"/>
    </row>
    <row r="19" spans="1:36" ht="15.75" thickBot="1">
      <c r="A19" s="85"/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22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22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7"/>
    </row>
    <row r="20" spans="1:36">
      <c r="A20" s="85"/>
      <c r="B20" s="52" t="s">
        <v>9</v>
      </c>
      <c r="C20" s="115">
        <v>35658.11</v>
      </c>
      <c r="D20" s="60">
        <f>C20*(1+'Supuestos Iniciales'!$F$13)</f>
        <v>37084.434399999998</v>
      </c>
      <c r="E20" s="60">
        <f>D20*(1+'Supuestos Iniciales'!$F$13)</f>
        <v>38567.811776000002</v>
      </c>
      <c r="F20" s="60">
        <f>E20*(1+'Supuestos Iniciales'!$F$13)</f>
        <v>40110.524247040004</v>
      </c>
      <c r="G20" s="60">
        <f>F20*(1+'Supuestos Iniciales'!$F$13)</f>
        <v>41714.945216921609</v>
      </c>
      <c r="H20" s="60">
        <f>G20*(1+'Supuestos Iniciales'!$F$13)</f>
        <v>43383.543025598476</v>
      </c>
      <c r="I20" s="60">
        <f>H20*(1+'Supuestos Iniciales'!$F$13)</f>
        <v>45118.884746622418</v>
      </c>
      <c r="J20" s="60">
        <f>I20*(1+'Supuestos Iniciales'!$F$13)</f>
        <v>46923.640136487316</v>
      </c>
      <c r="K20" s="60">
        <f>J20*(1+'Supuestos Iniciales'!$F$13)</f>
        <v>48800.585741946808</v>
      </c>
      <c r="L20" s="60">
        <f>K20*(1+'Supuestos Iniciales'!$F$13)</f>
        <v>50752.609171624681</v>
      </c>
      <c r="M20" s="60">
        <f>L20*(1+'Supuestos Iniciales'!$F$13)</f>
        <v>52782.713538489668</v>
      </c>
      <c r="N20" s="22"/>
      <c r="O20" s="52">
        <f>D20*(1+'Supuestos Iniciales'!$C$33)</f>
        <v>46355.542999999998</v>
      </c>
      <c r="P20" s="60">
        <f>E20*(1+'Supuestos Iniciales'!$C$33)</f>
        <v>48209.764720000006</v>
      </c>
      <c r="Q20" s="60">
        <f>F20*(1+'Supuestos Iniciales'!$C$33)</f>
        <v>50138.155308800007</v>
      </c>
      <c r="R20" s="60">
        <f>G20*(1+'Supuestos Iniciales'!$C$33)</f>
        <v>52143.681521152015</v>
      </c>
      <c r="S20" s="60">
        <f>H20*(1+'Supuestos Iniciales'!$C$33)</f>
        <v>54229.428781998096</v>
      </c>
      <c r="T20" s="60">
        <f>I20*(1+'Supuestos Iniciales'!$C$33)</f>
        <v>56398.605933278021</v>
      </c>
      <c r="U20" s="60">
        <f>J20*(1+'Supuestos Iniciales'!$C$33)</f>
        <v>58654.550170609145</v>
      </c>
      <c r="V20" s="60">
        <f>K20*(1+'Supuestos Iniciales'!$C$33)</f>
        <v>61000.732177433514</v>
      </c>
      <c r="W20" s="60">
        <f>L20*(1+'Supuestos Iniciales'!$C$33)</f>
        <v>63440.761464530849</v>
      </c>
      <c r="X20" s="53">
        <f>M20*(1+'Supuestos Iniciales'!$C$33)</f>
        <v>65978.391923112082</v>
      </c>
      <c r="Y20" s="22"/>
      <c r="Z20" s="52">
        <f>D20*(1+'Supuestos Iniciales'!$F$33)</f>
        <v>27813.325799999999</v>
      </c>
      <c r="AA20" s="60">
        <f>E20*(1+'Supuestos Iniciales'!$F$33)</f>
        <v>28925.858832000002</v>
      </c>
      <c r="AB20" s="60">
        <f>F20*(1+'Supuestos Iniciales'!$F$33)</f>
        <v>30082.893185280001</v>
      </c>
      <c r="AC20" s="60">
        <f>G20*(1+'Supuestos Iniciales'!$F$33)</f>
        <v>31286.208912691207</v>
      </c>
      <c r="AD20" s="60">
        <f>H20*(1+'Supuestos Iniciales'!$F$33)</f>
        <v>32537.657269198855</v>
      </c>
      <c r="AE20" s="60">
        <f>I20*(1+'Supuestos Iniciales'!$F$33)</f>
        <v>33839.163559966815</v>
      </c>
      <c r="AF20" s="60">
        <f>J20*(1+'Supuestos Iniciales'!$F$33)</f>
        <v>35192.730102365487</v>
      </c>
      <c r="AG20" s="60">
        <f>K20*(1+'Supuestos Iniciales'!$F$33)</f>
        <v>36600.439306460103</v>
      </c>
      <c r="AH20" s="60">
        <f>L20*(1+'Supuestos Iniciales'!$F$33)</f>
        <v>38064.456878718513</v>
      </c>
      <c r="AI20" s="53">
        <f>M20*(1+'Supuestos Iniciales'!$F$33)</f>
        <v>39587.035153867255</v>
      </c>
      <c r="AJ20" s="87"/>
    </row>
    <row r="21" spans="1:36">
      <c r="A21" s="85"/>
      <c r="B21" s="56" t="s">
        <v>40</v>
      </c>
      <c r="C21" s="116">
        <v>22254.99</v>
      </c>
      <c r="D21" s="62">
        <f>C21*(1+'Supuestos Iniciales'!$F$14)</f>
        <v>22254.99</v>
      </c>
      <c r="E21" s="62">
        <f>D21*(1+'Supuestos Iniciales'!$F$14)</f>
        <v>22254.99</v>
      </c>
      <c r="F21" s="62">
        <f>E21*(1+'Supuestos Iniciales'!$F$14)</f>
        <v>22254.99</v>
      </c>
      <c r="G21" s="62">
        <f>F21*(1+'Supuestos Iniciales'!$F$14)</f>
        <v>22254.99</v>
      </c>
      <c r="H21" s="62">
        <f>G21*(1+'Supuestos Iniciales'!$F$14)</f>
        <v>22254.99</v>
      </c>
      <c r="I21" s="62">
        <f>H21*(1+'Supuestos Iniciales'!$F$14)</f>
        <v>22254.99</v>
      </c>
      <c r="J21" s="62">
        <f>I21*(1+'Supuestos Iniciales'!$F$14)</f>
        <v>22254.99</v>
      </c>
      <c r="K21" s="62">
        <f>J21*(1+'Supuestos Iniciales'!$F$14)</f>
        <v>22254.99</v>
      </c>
      <c r="L21" s="62">
        <f>K21*(1+'Supuestos Iniciales'!$F$14)</f>
        <v>22254.99</v>
      </c>
      <c r="M21" s="62">
        <f>L21*(1+'Supuestos Iniciales'!$F$14)</f>
        <v>22254.99</v>
      </c>
      <c r="N21" s="22"/>
      <c r="O21" s="56">
        <f>D21*(1+'Supuestos Iniciales'!$C$34)</f>
        <v>22254.99</v>
      </c>
      <c r="P21" s="62">
        <f>E21*(1+'Supuestos Iniciales'!$C$34)</f>
        <v>22254.99</v>
      </c>
      <c r="Q21" s="62">
        <f>F21*(1+'Supuestos Iniciales'!$C$34)</f>
        <v>22254.99</v>
      </c>
      <c r="R21" s="62">
        <f>G21*(1+'Supuestos Iniciales'!$C$34)</f>
        <v>22254.99</v>
      </c>
      <c r="S21" s="62">
        <f>H21*(1+'Supuestos Iniciales'!$C$34)</f>
        <v>22254.99</v>
      </c>
      <c r="T21" s="62">
        <f>I21*(1+'Supuestos Iniciales'!$C$34)</f>
        <v>22254.99</v>
      </c>
      <c r="U21" s="62">
        <f>J21*(1+'Supuestos Iniciales'!$C$34)</f>
        <v>22254.99</v>
      </c>
      <c r="V21" s="62">
        <f>K21*(1+'Supuestos Iniciales'!$C$34)</f>
        <v>22254.99</v>
      </c>
      <c r="W21" s="62">
        <f>L21*(1+'Supuestos Iniciales'!$C$34)</f>
        <v>22254.99</v>
      </c>
      <c r="X21" s="57">
        <f>M21*(1+'Supuestos Iniciales'!$C$34)</f>
        <v>22254.99</v>
      </c>
      <c r="Y21" s="22"/>
      <c r="Z21" s="56">
        <f>D21*(1+'Supuestos Iniciales'!$F$34)</f>
        <v>22254.99</v>
      </c>
      <c r="AA21" s="62">
        <f>E21*(1+'Supuestos Iniciales'!$F$34)</f>
        <v>22254.99</v>
      </c>
      <c r="AB21" s="62">
        <f>F21*(1+'Supuestos Iniciales'!$F$34)</f>
        <v>22254.99</v>
      </c>
      <c r="AC21" s="62">
        <f>G21*(1+'Supuestos Iniciales'!$F$34)</f>
        <v>22254.99</v>
      </c>
      <c r="AD21" s="62">
        <f>H21*(1+'Supuestos Iniciales'!$F$34)</f>
        <v>22254.99</v>
      </c>
      <c r="AE21" s="62">
        <f>I21*(1+'Supuestos Iniciales'!$F$34)</f>
        <v>22254.99</v>
      </c>
      <c r="AF21" s="62">
        <f>J21*(1+'Supuestos Iniciales'!$F$34)</f>
        <v>22254.99</v>
      </c>
      <c r="AG21" s="62">
        <f>K21*(1+'Supuestos Iniciales'!$F$34)</f>
        <v>22254.99</v>
      </c>
      <c r="AH21" s="62">
        <f>L21*(1+'Supuestos Iniciales'!$F$34)</f>
        <v>22254.99</v>
      </c>
      <c r="AI21" s="57">
        <f>M21*(1+'Supuestos Iniciales'!$F$34)</f>
        <v>22254.99</v>
      </c>
      <c r="AJ21" s="87"/>
    </row>
    <row r="22" spans="1:36">
      <c r="A22" s="85"/>
      <c r="B22" s="56" t="s">
        <v>41</v>
      </c>
      <c r="C22" s="62">
        <f>+C23+C24</f>
        <v>11352.359999999999</v>
      </c>
      <c r="D22" s="62">
        <f t="shared" ref="D22" si="38">+D23+D24</f>
        <v>11352.359999999999</v>
      </c>
      <c r="E22" s="62">
        <f t="shared" ref="E22:M22" si="39">+E23+E24</f>
        <v>11352.359999999999</v>
      </c>
      <c r="F22" s="62">
        <f t="shared" si="39"/>
        <v>11352.359999999999</v>
      </c>
      <c r="G22" s="62">
        <f t="shared" si="39"/>
        <v>11352.359999999999</v>
      </c>
      <c r="H22" s="62">
        <f t="shared" si="39"/>
        <v>11352.359999999999</v>
      </c>
      <c r="I22" s="62">
        <f t="shared" si="39"/>
        <v>11352.359999999999</v>
      </c>
      <c r="J22" s="62">
        <f t="shared" si="39"/>
        <v>11352.359999999999</v>
      </c>
      <c r="K22" s="62">
        <f t="shared" si="39"/>
        <v>11352.359999999999</v>
      </c>
      <c r="L22" s="62">
        <f t="shared" si="39"/>
        <v>11352.359999999999</v>
      </c>
      <c r="M22" s="62">
        <f t="shared" si="39"/>
        <v>11352.359999999999</v>
      </c>
      <c r="N22" s="22"/>
      <c r="O22" s="56">
        <f>+O23+O24</f>
        <v>11352.359999999999</v>
      </c>
      <c r="P22" s="62">
        <f t="shared" ref="P22:X22" si="40">+P23+P24</f>
        <v>11352.359999999999</v>
      </c>
      <c r="Q22" s="62">
        <f t="shared" si="40"/>
        <v>11352.359999999999</v>
      </c>
      <c r="R22" s="62">
        <f t="shared" si="40"/>
        <v>11352.359999999999</v>
      </c>
      <c r="S22" s="62">
        <f t="shared" si="40"/>
        <v>11352.359999999999</v>
      </c>
      <c r="T22" s="62">
        <f t="shared" si="40"/>
        <v>11352.359999999999</v>
      </c>
      <c r="U22" s="62">
        <f t="shared" si="40"/>
        <v>11352.359999999999</v>
      </c>
      <c r="V22" s="62">
        <f t="shared" si="40"/>
        <v>11352.359999999999</v>
      </c>
      <c r="W22" s="62">
        <f t="shared" si="40"/>
        <v>11352.359999999999</v>
      </c>
      <c r="X22" s="57">
        <f t="shared" si="40"/>
        <v>11352.359999999999</v>
      </c>
      <c r="Y22" s="22"/>
      <c r="Z22" s="56">
        <f>+Z23+Z24</f>
        <v>11352.359999999999</v>
      </c>
      <c r="AA22" s="62">
        <f t="shared" ref="AA22:AI22" si="41">+AA23+AA24</f>
        <v>11352.359999999999</v>
      </c>
      <c r="AB22" s="62">
        <f t="shared" si="41"/>
        <v>11352.359999999999</v>
      </c>
      <c r="AC22" s="62">
        <f t="shared" si="41"/>
        <v>11352.359999999999</v>
      </c>
      <c r="AD22" s="62">
        <f t="shared" si="41"/>
        <v>11352.359999999999</v>
      </c>
      <c r="AE22" s="62">
        <f t="shared" si="41"/>
        <v>11352.359999999999</v>
      </c>
      <c r="AF22" s="62">
        <f t="shared" si="41"/>
        <v>11352.359999999999</v>
      </c>
      <c r="AG22" s="62">
        <f t="shared" si="41"/>
        <v>11352.359999999999</v>
      </c>
      <c r="AH22" s="62">
        <f t="shared" si="41"/>
        <v>11352.359999999999</v>
      </c>
      <c r="AI22" s="57">
        <f t="shared" si="41"/>
        <v>11352.359999999999</v>
      </c>
      <c r="AJ22" s="87"/>
    </row>
    <row r="23" spans="1:36">
      <c r="A23" s="85"/>
      <c r="B23" s="54" t="s">
        <v>22</v>
      </c>
      <c r="C23" s="66">
        <v>429.71</v>
      </c>
      <c r="D23" s="61">
        <f>C23*(1+'Supuestos Iniciales'!$F$15)</f>
        <v>429.71</v>
      </c>
      <c r="E23" s="61">
        <f>D23*(1+'Supuestos Iniciales'!$F$15)</f>
        <v>429.71</v>
      </c>
      <c r="F23" s="61">
        <f>E23*(1+'Supuestos Iniciales'!$F$15)</f>
        <v>429.71</v>
      </c>
      <c r="G23" s="61">
        <f>F23*(1+'Supuestos Iniciales'!$F$15)</f>
        <v>429.71</v>
      </c>
      <c r="H23" s="61">
        <f>G23*(1+'Supuestos Iniciales'!$F$15)</f>
        <v>429.71</v>
      </c>
      <c r="I23" s="61">
        <f>H23*(1+'Supuestos Iniciales'!$F$15)</f>
        <v>429.71</v>
      </c>
      <c r="J23" s="61">
        <f>I23*(1+'Supuestos Iniciales'!$F$15)</f>
        <v>429.71</v>
      </c>
      <c r="K23" s="61">
        <f>J23*(1+'Supuestos Iniciales'!$F$15)</f>
        <v>429.71</v>
      </c>
      <c r="L23" s="61">
        <f>K23*(1+'Supuestos Iniciales'!$F$15)</f>
        <v>429.71</v>
      </c>
      <c r="M23" s="61">
        <f>L23*(1+'Supuestos Iniciales'!$F$15)</f>
        <v>429.71</v>
      </c>
      <c r="N23" s="22"/>
      <c r="O23" s="67">
        <f>D23*(1+'Supuestos Iniciales'!$C$35)</f>
        <v>429.71</v>
      </c>
      <c r="P23" s="61">
        <f>E23*(1+'Supuestos Iniciales'!$C$35)</f>
        <v>429.71</v>
      </c>
      <c r="Q23" s="61">
        <f>F23*(1+'Supuestos Iniciales'!$C$35)</f>
        <v>429.71</v>
      </c>
      <c r="R23" s="61">
        <f>G23*(1+'Supuestos Iniciales'!$C$35)</f>
        <v>429.71</v>
      </c>
      <c r="S23" s="61">
        <f>H23*(1+'Supuestos Iniciales'!$C$35)</f>
        <v>429.71</v>
      </c>
      <c r="T23" s="61">
        <f>I23*(1+'Supuestos Iniciales'!$C$35)</f>
        <v>429.71</v>
      </c>
      <c r="U23" s="61">
        <f>J23*(1+'Supuestos Iniciales'!$C$35)</f>
        <v>429.71</v>
      </c>
      <c r="V23" s="61">
        <f>K23*(1+'Supuestos Iniciales'!$C$35)</f>
        <v>429.71</v>
      </c>
      <c r="W23" s="61">
        <f>L23*(1+'Supuestos Iniciales'!$C$35)</f>
        <v>429.71</v>
      </c>
      <c r="X23" s="55">
        <f>M23*(1+'Supuestos Iniciales'!$C$35)</f>
        <v>429.71</v>
      </c>
      <c r="Y23" s="22"/>
      <c r="Z23" s="67">
        <f>D23*(1+'Supuestos Iniciales'!$F$35)</f>
        <v>429.71</v>
      </c>
      <c r="AA23" s="61">
        <f>E23*(1+'Supuestos Iniciales'!$F$35)</f>
        <v>429.71</v>
      </c>
      <c r="AB23" s="61">
        <f>F23*(1+'Supuestos Iniciales'!$F$35)</f>
        <v>429.71</v>
      </c>
      <c r="AC23" s="61">
        <f>G23*(1+'Supuestos Iniciales'!$F$35)</f>
        <v>429.71</v>
      </c>
      <c r="AD23" s="61">
        <f>H23*(1+'Supuestos Iniciales'!$F$35)</f>
        <v>429.71</v>
      </c>
      <c r="AE23" s="61">
        <f>I23*(1+'Supuestos Iniciales'!$F$35)</f>
        <v>429.71</v>
      </c>
      <c r="AF23" s="61">
        <f>J23*(1+'Supuestos Iniciales'!$F$35)</f>
        <v>429.71</v>
      </c>
      <c r="AG23" s="61">
        <f>K23*(1+'Supuestos Iniciales'!$F$35)</f>
        <v>429.71</v>
      </c>
      <c r="AH23" s="61">
        <f>L23*(1+'Supuestos Iniciales'!$F$35)</f>
        <v>429.71</v>
      </c>
      <c r="AI23" s="55">
        <f>M23*(1+'Supuestos Iniciales'!$F$35)</f>
        <v>429.71</v>
      </c>
      <c r="AJ23" s="87"/>
    </row>
    <row r="24" spans="1:36" ht="15.75" thickBot="1">
      <c r="A24" s="85"/>
      <c r="B24" s="63" t="s">
        <v>77</v>
      </c>
      <c r="C24" s="69">
        <v>10922.65</v>
      </c>
      <c r="D24" s="64">
        <f>C24*(1+'Supuestos Iniciales'!$F$16)</f>
        <v>10922.65</v>
      </c>
      <c r="E24" s="64">
        <f>D24*(1+'Supuestos Iniciales'!$F$16)</f>
        <v>10922.65</v>
      </c>
      <c r="F24" s="64">
        <f>E24*(1+'Supuestos Iniciales'!$F$16)</f>
        <v>10922.65</v>
      </c>
      <c r="G24" s="64">
        <f>F24*(1+'Supuestos Iniciales'!$F$16)</f>
        <v>10922.65</v>
      </c>
      <c r="H24" s="64">
        <f>G24*(1+'Supuestos Iniciales'!$F$16)</f>
        <v>10922.65</v>
      </c>
      <c r="I24" s="64">
        <f>H24*(1+'Supuestos Iniciales'!$F$16)</f>
        <v>10922.65</v>
      </c>
      <c r="J24" s="64">
        <f>I24*(1+'Supuestos Iniciales'!$F$16)</f>
        <v>10922.65</v>
      </c>
      <c r="K24" s="64">
        <f>J24*(1+'Supuestos Iniciales'!$F$16)</f>
        <v>10922.65</v>
      </c>
      <c r="L24" s="64">
        <f>K24*(1+'Supuestos Iniciales'!$F$16)</f>
        <v>10922.65</v>
      </c>
      <c r="M24" s="64">
        <f>L24*(1+'Supuestos Iniciales'!$F$16)</f>
        <v>10922.65</v>
      </c>
      <c r="N24" s="22"/>
      <c r="O24" s="58">
        <f>D24*(1+'Supuestos Iniciales'!$C$36)</f>
        <v>10922.65</v>
      </c>
      <c r="P24" s="64">
        <f>E24*(1+'Supuestos Iniciales'!$C$36)</f>
        <v>10922.65</v>
      </c>
      <c r="Q24" s="64">
        <f>F24*(1+'Supuestos Iniciales'!$C$36)</f>
        <v>10922.65</v>
      </c>
      <c r="R24" s="64">
        <f>G24*(1+'Supuestos Iniciales'!$C$36)</f>
        <v>10922.65</v>
      </c>
      <c r="S24" s="64">
        <f>H24*(1+'Supuestos Iniciales'!$C$36)</f>
        <v>10922.65</v>
      </c>
      <c r="T24" s="64">
        <f>I24*(1+'Supuestos Iniciales'!$C$36)</f>
        <v>10922.65</v>
      </c>
      <c r="U24" s="64">
        <f>J24*(1+'Supuestos Iniciales'!$C$36)</f>
        <v>10922.65</v>
      </c>
      <c r="V24" s="64">
        <f>K24*(1+'Supuestos Iniciales'!$C$36)</f>
        <v>10922.65</v>
      </c>
      <c r="W24" s="64">
        <f>L24*(1+'Supuestos Iniciales'!$C$36)</f>
        <v>10922.65</v>
      </c>
      <c r="X24" s="59">
        <f>M24*(1+'Supuestos Iniciales'!$C$36)</f>
        <v>10922.65</v>
      </c>
      <c r="Y24" s="22"/>
      <c r="Z24" s="58">
        <f>D24*(1+'Supuestos Iniciales'!$F$36)</f>
        <v>10922.65</v>
      </c>
      <c r="AA24" s="64">
        <f>E24*(1+'Supuestos Iniciales'!$F$36)</f>
        <v>10922.65</v>
      </c>
      <c r="AB24" s="64">
        <f>F24*(1+'Supuestos Iniciales'!$F$36)</f>
        <v>10922.65</v>
      </c>
      <c r="AC24" s="64">
        <f>G24*(1+'Supuestos Iniciales'!$F$36)</f>
        <v>10922.65</v>
      </c>
      <c r="AD24" s="64">
        <f>H24*(1+'Supuestos Iniciales'!$F$36)</f>
        <v>10922.65</v>
      </c>
      <c r="AE24" s="64">
        <f>I24*(1+'Supuestos Iniciales'!$F$36)</f>
        <v>10922.65</v>
      </c>
      <c r="AF24" s="64">
        <f>J24*(1+'Supuestos Iniciales'!$F$36)</f>
        <v>10922.65</v>
      </c>
      <c r="AG24" s="64">
        <f>K24*(1+'Supuestos Iniciales'!$F$36)</f>
        <v>10922.65</v>
      </c>
      <c r="AH24" s="64">
        <f>L24*(1+'Supuestos Iniciales'!$F$36)</f>
        <v>10922.65</v>
      </c>
      <c r="AI24" s="59">
        <f>M24*(1+'Supuestos Iniciales'!$F$36)</f>
        <v>10922.65</v>
      </c>
      <c r="AJ24" s="87"/>
    </row>
    <row r="25" spans="1:36">
      <c r="A25" s="85"/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7"/>
    </row>
    <row r="26" spans="1:36">
      <c r="A26" s="85"/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7"/>
    </row>
    <row r="27" spans="1:36">
      <c r="A27" s="85"/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7"/>
    </row>
    <row r="28" spans="1:36">
      <c r="A28" s="85"/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7"/>
    </row>
    <row r="29" spans="1:36">
      <c r="A29" s="85"/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7"/>
    </row>
    <row r="30" spans="1:36">
      <c r="A30" s="85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7"/>
    </row>
    <row r="31" spans="1:36">
      <c r="A31" s="85"/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7"/>
    </row>
    <row r="32" spans="1:36" ht="15.75" thickBot="1">
      <c r="A32" s="89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1"/>
    </row>
  </sheetData>
  <mergeCells count="3">
    <mergeCell ref="D2:M2"/>
    <mergeCell ref="O2:X2"/>
    <mergeCell ref="Z2:AI2"/>
  </mergeCells>
  <conditionalFormatting sqref="C4">
    <cfRule type="cellIs" dxfId="10" priority="34" operator="notEqual">
      <formula>C18</formula>
    </cfRule>
  </conditionalFormatting>
  <conditionalFormatting sqref="C18">
    <cfRule type="cellIs" dxfId="9" priority="30" operator="notEqual">
      <formula>C4</formula>
    </cfRule>
  </conditionalFormatting>
  <conditionalFormatting sqref="C18">
    <cfRule type="cellIs" dxfId="8" priority="7" operator="notEqual">
      <formula>C4</formula>
    </cfRule>
  </conditionalFormatting>
  <conditionalFormatting sqref="C18">
    <cfRule type="cellIs" dxfId="7" priority="6" operator="notEqual">
      <formula>C4</formula>
    </cfRule>
  </conditionalFormatting>
  <conditionalFormatting sqref="C18">
    <cfRule type="cellIs" dxfId="6" priority="5" operator="notEqual">
      <formula>C4</formula>
    </cfRule>
  </conditionalFormatting>
  <conditionalFormatting sqref="C18">
    <cfRule type="cellIs" dxfId="5" priority="4" operator="notEqual">
      <formula>C4</formula>
    </cfRule>
  </conditionalFormatting>
  <conditionalFormatting sqref="C18">
    <cfRule type="cellIs" dxfId="4" priority="3" operator="notEqual">
      <formula>C4</formula>
    </cfRule>
  </conditionalFormatting>
  <conditionalFormatting sqref="C18">
    <cfRule type="cellIs" dxfId="3" priority="2" operator="notEqual">
      <formula>C4</formula>
    </cfRule>
  </conditionalFormatting>
  <conditionalFormatting sqref="C18">
    <cfRule type="cellIs" dxfId="2" priority="1" operator="notEqual">
      <formula>C4</formula>
    </cfRule>
  </conditionalFormatting>
  <pageMargins left="0.70866141732283472" right="0.70866141732283472" top="0.74803149606299213" bottom="0.74803149606299213" header="0.31496062992125984" footer="0.31496062992125984"/>
  <pageSetup paperSize="9" scale="45" orientation="landscape" r:id="rId1"/>
  <ignoredErrors>
    <ignoredError sqref="B1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15"/>
  <dimension ref="A1:D38"/>
  <sheetViews>
    <sheetView zoomScale="80" zoomScaleNormal="80" workbookViewId="0"/>
  </sheetViews>
  <sheetFormatPr baseColWidth="10" defaultRowHeight="15"/>
  <cols>
    <col min="1" max="1" width="4.85546875" style="84" customWidth="1"/>
    <col min="2" max="2" width="52.7109375" style="84" customWidth="1"/>
    <col min="3" max="3" width="15.85546875" style="84" customWidth="1"/>
    <col min="4" max="16384" width="11.42578125" style="84"/>
  </cols>
  <sheetData>
    <row r="1" spans="1:4" ht="15.75" thickBot="1">
      <c r="A1" s="81"/>
      <c r="B1" s="82"/>
      <c r="C1" s="82"/>
      <c r="D1" s="83"/>
    </row>
    <row r="2" spans="1:4" ht="15.75" thickBot="1">
      <c r="A2" s="85"/>
      <c r="B2" s="31" t="s">
        <v>25</v>
      </c>
      <c r="C2" s="86"/>
      <c r="D2" s="87"/>
    </row>
    <row r="3" spans="1:4" ht="15.75" thickBot="1">
      <c r="A3" s="85"/>
      <c r="B3" s="88" t="str">
        <f>'Supuestos Iniciales'!F10</f>
        <v>Miles de Euros</v>
      </c>
      <c r="C3" s="92" t="str">
        <f>'Supuestos Iniciales'!F9</f>
        <v>2008</v>
      </c>
      <c r="D3" s="87"/>
    </row>
    <row r="4" spans="1:4" ht="15.75" thickBot="1">
      <c r="A4" s="85"/>
      <c r="B4" s="27" t="s">
        <v>4</v>
      </c>
      <c r="C4" s="27">
        <f>C6+C14</f>
        <v>72765.459999999992</v>
      </c>
      <c r="D4" s="87"/>
    </row>
    <row r="5" spans="1:4" ht="15.75" thickBot="1">
      <c r="A5" s="85"/>
      <c r="B5" s="86"/>
      <c r="C5" s="86"/>
      <c r="D5" s="87"/>
    </row>
    <row r="6" spans="1:4">
      <c r="A6" s="85"/>
      <c r="B6" s="52" t="s">
        <v>36</v>
      </c>
      <c r="C6" s="53">
        <f>SUM(C7:C13)</f>
        <v>60035.6</v>
      </c>
      <c r="D6" s="87"/>
    </row>
    <row r="7" spans="1:4">
      <c r="A7" s="85"/>
      <c r="B7" s="54" t="s">
        <v>37</v>
      </c>
      <c r="C7" s="93">
        <v>5689.5</v>
      </c>
      <c r="D7" s="87"/>
    </row>
    <row r="8" spans="1:4">
      <c r="A8" s="85"/>
      <c r="B8" s="94" t="s">
        <v>23</v>
      </c>
      <c r="C8" s="95">
        <v>0</v>
      </c>
      <c r="D8" s="87"/>
    </row>
    <row r="9" spans="1:4">
      <c r="A9" s="85"/>
      <c r="B9" s="54" t="s">
        <v>38</v>
      </c>
      <c r="C9" s="93">
        <v>49346.1</v>
      </c>
      <c r="D9" s="87"/>
    </row>
    <row r="10" spans="1:4">
      <c r="A10" s="85"/>
      <c r="B10" s="94" t="s">
        <v>23</v>
      </c>
      <c r="C10" s="95">
        <v>5000</v>
      </c>
      <c r="D10" s="87"/>
    </row>
    <row r="11" spans="1:4">
      <c r="A11" s="85"/>
      <c r="B11" s="54" t="s">
        <v>67</v>
      </c>
      <c r="C11" s="93">
        <v>0</v>
      </c>
      <c r="D11" s="87"/>
    </row>
    <row r="12" spans="1:4">
      <c r="A12" s="85"/>
      <c r="B12" s="54" t="s">
        <v>79</v>
      </c>
      <c r="C12" s="93">
        <v>0</v>
      </c>
      <c r="D12" s="87"/>
    </row>
    <row r="13" spans="1:4">
      <c r="A13" s="85"/>
      <c r="B13" s="94" t="s">
        <v>23</v>
      </c>
      <c r="C13" s="95">
        <v>0</v>
      </c>
      <c r="D13" s="87"/>
    </row>
    <row r="14" spans="1:4">
      <c r="A14" s="85"/>
      <c r="B14" s="56" t="s">
        <v>39</v>
      </c>
      <c r="C14" s="57">
        <f>SUM(C15:C21)</f>
        <v>12729.86</v>
      </c>
      <c r="D14" s="87"/>
    </row>
    <row r="15" spans="1:4">
      <c r="A15" s="85"/>
      <c r="B15" s="54" t="s">
        <v>6</v>
      </c>
      <c r="C15" s="93">
        <v>429.7</v>
      </c>
      <c r="D15" s="87"/>
    </row>
    <row r="16" spans="1:4">
      <c r="A16" s="85"/>
      <c r="B16" s="94" t="s">
        <v>24</v>
      </c>
      <c r="C16" s="95">
        <v>0</v>
      </c>
      <c r="D16" s="87"/>
    </row>
    <row r="17" spans="1:4">
      <c r="A17" s="85"/>
      <c r="B17" s="54" t="s">
        <v>20</v>
      </c>
      <c r="C17" s="93">
        <v>9111.1</v>
      </c>
      <c r="D17" s="87"/>
    </row>
    <row r="18" spans="1:4">
      <c r="A18" s="85"/>
      <c r="B18" s="94" t="s">
        <v>17</v>
      </c>
      <c r="C18" s="96">
        <v>-1500</v>
      </c>
      <c r="D18" s="87"/>
    </row>
    <row r="19" spans="1:4">
      <c r="A19" s="85"/>
      <c r="B19" s="54" t="s">
        <v>78</v>
      </c>
      <c r="C19" s="97">
        <v>0</v>
      </c>
      <c r="D19" s="87"/>
    </row>
    <row r="20" spans="1:4">
      <c r="A20" s="85"/>
      <c r="B20" s="76" t="s">
        <v>23</v>
      </c>
      <c r="C20" s="96">
        <v>0</v>
      </c>
      <c r="D20" s="87"/>
    </row>
    <row r="21" spans="1:4" ht="15.75" thickBot="1">
      <c r="A21" s="85"/>
      <c r="B21" s="63" t="s">
        <v>7</v>
      </c>
      <c r="C21" s="98">
        <v>4689.0600000000004</v>
      </c>
      <c r="D21" s="87"/>
    </row>
    <row r="22" spans="1:4">
      <c r="A22" s="85"/>
      <c r="B22" s="86"/>
      <c r="C22" s="86"/>
      <c r="D22" s="87"/>
    </row>
    <row r="23" spans="1:4" ht="15.75" thickBot="1">
      <c r="A23" s="85"/>
      <c r="B23" s="86"/>
      <c r="C23" s="86"/>
      <c r="D23" s="87"/>
    </row>
    <row r="24" spans="1:4" ht="15.75" thickBot="1">
      <c r="A24" s="85"/>
      <c r="B24" s="27" t="s">
        <v>8</v>
      </c>
      <c r="C24" s="27">
        <f>C26+C27+C28+C30+C29</f>
        <v>72765.460000000006</v>
      </c>
      <c r="D24" s="87"/>
    </row>
    <row r="25" spans="1:4" ht="15.75" thickBot="1">
      <c r="A25" s="85"/>
      <c r="B25" s="86"/>
      <c r="C25" s="86"/>
      <c r="D25" s="87"/>
    </row>
    <row r="26" spans="1:4">
      <c r="A26" s="85"/>
      <c r="B26" s="52" t="s">
        <v>9</v>
      </c>
      <c r="C26" s="117">
        <v>35658.11</v>
      </c>
      <c r="D26" s="87"/>
    </row>
    <row r="27" spans="1:4">
      <c r="A27" s="85"/>
      <c r="B27" s="99" t="s">
        <v>18</v>
      </c>
      <c r="C27" s="100">
        <f>C8+C10+C16+C18+C13+C20-C29-C31</f>
        <v>3500</v>
      </c>
      <c r="D27" s="87"/>
    </row>
    <row r="28" spans="1:4">
      <c r="A28" s="85"/>
      <c r="B28" s="56" t="s">
        <v>40</v>
      </c>
      <c r="C28" s="118">
        <v>22254.99</v>
      </c>
      <c r="D28" s="87"/>
    </row>
    <row r="29" spans="1:4">
      <c r="A29" s="85"/>
      <c r="B29" s="76" t="s">
        <v>103</v>
      </c>
      <c r="C29" s="151">
        <v>0</v>
      </c>
      <c r="D29" s="87"/>
    </row>
    <row r="30" spans="1:4">
      <c r="A30" s="85"/>
      <c r="B30" s="56" t="s">
        <v>41</v>
      </c>
      <c r="C30" s="57">
        <f>SUM(C31:C33)</f>
        <v>11352.359999999999</v>
      </c>
      <c r="D30" s="87"/>
    </row>
    <row r="31" spans="1:4">
      <c r="A31" s="85"/>
      <c r="B31" s="76" t="s">
        <v>103</v>
      </c>
      <c r="C31" s="152">
        <v>0</v>
      </c>
      <c r="D31" s="87"/>
    </row>
    <row r="32" spans="1:4">
      <c r="A32" s="85"/>
      <c r="B32" s="54" t="s">
        <v>22</v>
      </c>
      <c r="C32" s="93">
        <v>429.71</v>
      </c>
      <c r="D32" s="87"/>
    </row>
    <row r="33" spans="1:4" ht="15.75" thickBot="1">
      <c r="A33" s="85"/>
      <c r="B33" s="63" t="s">
        <v>77</v>
      </c>
      <c r="C33" s="98">
        <v>10922.65</v>
      </c>
      <c r="D33" s="87"/>
    </row>
    <row r="34" spans="1:4">
      <c r="A34" s="85"/>
      <c r="B34" s="86"/>
      <c r="C34" s="86"/>
      <c r="D34" s="87"/>
    </row>
    <row r="35" spans="1:4">
      <c r="A35" s="85"/>
      <c r="B35" s="86"/>
      <c r="C35" s="86"/>
      <c r="D35" s="87"/>
    </row>
    <row r="36" spans="1:4">
      <c r="A36" s="85"/>
      <c r="B36" s="86"/>
      <c r="C36" s="86"/>
      <c r="D36" s="87"/>
    </row>
    <row r="37" spans="1:4">
      <c r="A37" s="85"/>
      <c r="B37" s="86"/>
      <c r="C37" s="86"/>
      <c r="D37" s="87"/>
    </row>
    <row r="38" spans="1:4" ht="15.75" thickBot="1">
      <c r="A38" s="89"/>
      <c r="B38" s="90"/>
      <c r="C38" s="90"/>
      <c r="D38" s="91"/>
    </row>
  </sheetData>
  <conditionalFormatting sqref="C4">
    <cfRule type="cellIs" dxfId="1" priority="2" operator="notEqual">
      <formula>C24</formula>
    </cfRule>
  </conditionalFormatting>
  <conditionalFormatting sqref="C24">
    <cfRule type="cellIs" dxfId="0" priority="1" operator="notEqual">
      <formula>C4</formula>
    </cfRule>
  </conditionalFormatting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21"/>
  <dimension ref="A1:O34"/>
  <sheetViews>
    <sheetView zoomScale="80" zoomScaleNormal="80" workbookViewId="0">
      <selection activeCell="B21" sqref="B21"/>
    </sheetView>
  </sheetViews>
  <sheetFormatPr baseColWidth="10" defaultRowHeight="15"/>
  <cols>
    <col min="1" max="1" width="5" style="20" customWidth="1"/>
    <col min="2" max="2" width="70.7109375" style="20" bestFit="1" customWidth="1"/>
    <col min="3" max="3" width="17.85546875" style="20" customWidth="1"/>
    <col min="4" max="4" width="12" style="20" bestFit="1" customWidth="1"/>
    <col min="5" max="8" width="11.5703125" style="20" bestFit="1" customWidth="1"/>
    <col min="9" max="13" width="11.5703125" style="20" customWidth="1"/>
    <col min="14" max="16384" width="11.42578125" style="20"/>
  </cols>
  <sheetData>
    <row r="1" spans="1:15" ht="15.75" thickBot="1">
      <c r="A1" s="17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9"/>
    </row>
    <row r="2" spans="1:15" ht="15.75" thickBot="1">
      <c r="A2" s="21"/>
      <c r="B2" s="31" t="s">
        <v>98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3"/>
    </row>
    <row r="3" spans="1:15" ht="15.75" thickBot="1">
      <c r="A3" s="21"/>
      <c r="B3" s="79" t="str">
        <f>'Supuestos Iniciales'!F10</f>
        <v>Miles de Euros</v>
      </c>
      <c r="C3" s="74" t="str">
        <f>'Supuestos Iniciales'!F9</f>
        <v>2008</v>
      </c>
      <c r="D3" s="74">
        <f>C3+1</f>
        <v>2009</v>
      </c>
      <c r="E3" s="74">
        <f t="shared" ref="E3:M3" si="0">D3+1</f>
        <v>2010</v>
      </c>
      <c r="F3" s="74">
        <f t="shared" si="0"/>
        <v>2011</v>
      </c>
      <c r="G3" s="74">
        <f t="shared" si="0"/>
        <v>2012</v>
      </c>
      <c r="H3" s="74">
        <f t="shared" si="0"/>
        <v>2013</v>
      </c>
      <c r="I3" s="74">
        <f t="shared" si="0"/>
        <v>2014</v>
      </c>
      <c r="J3" s="74">
        <f t="shared" si="0"/>
        <v>2015</v>
      </c>
      <c r="K3" s="74">
        <f t="shared" si="0"/>
        <v>2016</v>
      </c>
      <c r="L3" s="74">
        <f t="shared" si="0"/>
        <v>2017</v>
      </c>
      <c r="M3" s="74">
        <f t="shared" si="0"/>
        <v>2018</v>
      </c>
      <c r="N3" s="22"/>
      <c r="O3" s="23"/>
    </row>
    <row r="4" spans="1:15" ht="15.75" thickBot="1">
      <c r="A4" s="21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3"/>
    </row>
    <row r="5" spans="1:15">
      <c r="A5" s="21"/>
      <c r="B5" s="32" t="s">
        <v>10</v>
      </c>
      <c r="C5" s="33">
        <v>14323.504999999999</v>
      </c>
      <c r="D5" s="34">
        <v>18935.867999999999</v>
      </c>
      <c r="E5" s="34">
        <f>D5*(1+'Supuestos Iniciales'!$C$6)</f>
        <v>19693.30272</v>
      </c>
      <c r="F5" s="34">
        <f>E5*(1+'Supuestos Iniciales'!$C$6)</f>
        <v>20481.034828799999</v>
      </c>
      <c r="G5" s="34">
        <f>F5*(1+'Supuestos Iniciales'!$C$6)</f>
        <v>21300.276221952001</v>
      </c>
      <c r="H5" s="34">
        <f>G5*(1+'Supuestos Iniciales'!$C$6)</f>
        <v>22152.287270830082</v>
      </c>
      <c r="I5" s="34">
        <f>H5*(1+'Supuestos Iniciales'!$C$6)</f>
        <v>23038.378761663287</v>
      </c>
      <c r="J5" s="34">
        <f>I5*(1+'Supuestos Iniciales'!$C$6)</f>
        <v>23959.913912129821</v>
      </c>
      <c r="K5" s="34">
        <f>J5*(1+'Supuestos Iniciales'!$C$6)</f>
        <v>24918.310468615015</v>
      </c>
      <c r="L5" s="34">
        <f>K5*(1+'Supuestos Iniciales'!$C$6)</f>
        <v>25915.042887359617</v>
      </c>
      <c r="M5" s="35">
        <f>L5*(1+'Supuestos Iniciales'!$C$6)</f>
        <v>26951.644602854001</v>
      </c>
      <c r="N5" s="22"/>
      <c r="O5" s="23"/>
    </row>
    <row r="6" spans="1:15">
      <c r="A6" s="21"/>
      <c r="B6" s="36" t="s">
        <v>5</v>
      </c>
      <c r="C6" s="37">
        <v>1785.4490000000001</v>
      </c>
      <c r="D6" s="38">
        <v>2705.174</v>
      </c>
      <c r="E6" s="38">
        <f>D6*(1+'Supuestos Iniciales'!$C$7)</f>
        <v>2705.174</v>
      </c>
      <c r="F6" s="38">
        <f>E6*(1+'Supuestos Iniciales'!$C$7)</f>
        <v>2705.174</v>
      </c>
      <c r="G6" s="38">
        <f>F6*(1+'Supuestos Iniciales'!$C$7)</f>
        <v>2705.174</v>
      </c>
      <c r="H6" s="38">
        <f>G6*(1+'Supuestos Iniciales'!$C$7)</f>
        <v>2705.174</v>
      </c>
      <c r="I6" s="38">
        <f>H6*(1+'Supuestos Iniciales'!$C$7)</f>
        <v>2705.174</v>
      </c>
      <c r="J6" s="38">
        <f>I6*(1+'Supuestos Iniciales'!$C$7)</f>
        <v>2705.174</v>
      </c>
      <c r="K6" s="38">
        <f>J6*(1+'Supuestos Iniciales'!$C$7)</f>
        <v>2705.174</v>
      </c>
      <c r="L6" s="38">
        <f>K6*(1+'Supuestos Iniciales'!$C$7)</f>
        <v>2705.174</v>
      </c>
      <c r="M6" s="39">
        <f>L6*(1+'Supuestos Iniciales'!$C$7)</f>
        <v>2705.174</v>
      </c>
      <c r="N6" s="22"/>
      <c r="O6" s="23"/>
    </row>
    <row r="7" spans="1:15">
      <c r="A7" s="21"/>
      <c r="B7" s="40" t="s">
        <v>11</v>
      </c>
      <c r="C7" s="41">
        <v>1648.4680000000001</v>
      </c>
      <c r="D7" s="42">
        <v>6348.9690000000001</v>
      </c>
      <c r="E7" s="42">
        <f>IF(D7&lt;0,D7*(1-'Supuestos Iniciales'!$C$8),D7*(1+'Supuestos Iniciales'!$C$8))</f>
        <v>6666.4174499999999</v>
      </c>
      <c r="F7" s="42">
        <f>IF(E7&lt;0,E7*(1-'Supuestos Iniciales'!$C$8),E7*(1+'Supuestos Iniciales'!$C$8))</f>
        <v>6999.7383225000003</v>
      </c>
      <c r="G7" s="42">
        <f>IF(F7&lt;0,F7*(1-'Supuestos Iniciales'!$C$8),F7*(1+'Supuestos Iniciales'!$C$8))</f>
        <v>7349.7252386250002</v>
      </c>
      <c r="H7" s="42">
        <f>IF(G7&lt;0,G7*(1-'Supuestos Iniciales'!$C$8),G7*(1+'Supuestos Iniciales'!$C$8))</f>
        <v>7717.2115005562509</v>
      </c>
      <c r="I7" s="42">
        <f>IF(H7&lt;0,H7*(1-'Supuestos Iniciales'!$C$8),H7*(1+'Supuestos Iniciales'!$C$8))</f>
        <v>8103.0720755840639</v>
      </c>
      <c r="J7" s="42">
        <f>IF(I7&lt;0,I7*(1-'Supuestos Iniciales'!$C$8),I7*(1+'Supuestos Iniciales'!$C$8))</f>
        <v>8508.2256793632678</v>
      </c>
      <c r="K7" s="42">
        <f>IF(J7&lt;0,J7*(1-'Supuestos Iniciales'!$C$8),J7*(1+'Supuestos Iniciales'!$C$8))</f>
        <v>8933.6369633314316</v>
      </c>
      <c r="L7" s="42">
        <f>IF(K7&lt;0,K7*(1-'Supuestos Iniciales'!$C$8),K7*(1+'Supuestos Iniciales'!$C$8))</f>
        <v>9380.3188114980039</v>
      </c>
      <c r="M7" s="43">
        <f>IF(L7&lt;0,L7*(1-'Supuestos Iniciales'!$C$8),L7*(1+'Supuestos Iniciales'!$C$8))</f>
        <v>9849.3347520729039</v>
      </c>
      <c r="N7" s="22"/>
      <c r="O7" s="23"/>
    </row>
    <row r="8" spans="1:15" ht="15.75" thickBot="1">
      <c r="A8" s="21"/>
      <c r="B8" s="44" t="s">
        <v>12</v>
      </c>
      <c r="C8" s="45">
        <v>-441.69</v>
      </c>
      <c r="D8" s="46">
        <v>3609.835</v>
      </c>
      <c r="E8" s="46">
        <f>IF(D8&lt;0,D8*(1-'Supuestos Iniciales'!$C$9),D8*(1+'Supuestos Iniciales'!$C$9))</f>
        <v>3790.3267500000002</v>
      </c>
      <c r="F8" s="46">
        <f>IF(E8&lt;0,E8*(1-'Supuestos Iniciales'!$C$9),E8*(1+'Supuestos Iniciales'!$C$9))</f>
        <v>3979.8430875000004</v>
      </c>
      <c r="G8" s="46">
        <f>IF(F8&lt;0,F8*(1-'Supuestos Iniciales'!$C$9),F8*(1+'Supuestos Iniciales'!$C$9))</f>
        <v>4178.835241875001</v>
      </c>
      <c r="H8" s="46">
        <f>IF(G8&lt;0,G8*(1-'Supuestos Iniciales'!$C$9),G8*(1+'Supuestos Iniciales'!$C$9))</f>
        <v>4387.7770039687512</v>
      </c>
      <c r="I8" s="46">
        <f>IF(H8&lt;0,H8*(1-'Supuestos Iniciales'!$C$9),H8*(1+'Supuestos Iniciales'!$C$9))</f>
        <v>4607.1658541671886</v>
      </c>
      <c r="J8" s="46">
        <f>IF(I8&lt;0,I8*(1-'Supuestos Iniciales'!$C$9),I8*(1+'Supuestos Iniciales'!$C$9))</f>
        <v>4837.5241468755485</v>
      </c>
      <c r="K8" s="46">
        <f>IF(J8&lt;0,J8*(1-'Supuestos Iniciales'!$C$9),J8*(1+'Supuestos Iniciales'!$C$9))</f>
        <v>5079.4003542193259</v>
      </c>
      <c r="L8" s="46">
        <f>IF(K8&lt;0,K8*(1-'Supuestos Iniciales'!$C$9),K8*(1+'Supuestos Iniciales'!$C$9))</f>
        <v>5333.3703719302921</v>
      </c>
      <c r="M8" s="47">
        <f>IF(L8&lt;0,L8*(1-'Supuestos Iniciales'!$C$9),L8*(1+'Supuestos Iniciales'!$C$9))</f>
        <v>5600.0388905268073</v>
      </c>
      <c r="N8" s="22"/>
      <c r="O8" s="23"/>
    </row>
    <row r="9" spans="1:15">
      <c r="A9" s="21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3"/>
    </row>
    <row r="10" spans="1:15" ht="15.75" thickBot="1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3"/>
    </row>
    <row r="11" spans="1:15" ht="15.75" thickBot="1">
      <c r="A11" s="21"/>
      <c r="B11" s="31" t="s">
        <v>99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3"/>
    </row>
    <row r="12" spans="1:15" ht="15.75" thickBot="1">
      <c r="A12" s="21"/>
      <c r="B12" s="22"/>
      <c r="C12" s="22"/>
      <c r="D12" s="74">
        <f>C3+1</f>
        <v>2009</v>
      </c>
      <c r="E12" s="74">
        <f t="shared" ref="E12:M12" si="1">D12+1</f>
        <v>2010</v>
      </c>
      <c r="F12" s="74">
        <f t="shared" si="1"/>
        <v>2011</v>
      </c>
      <c r="G12" s="74">
        <f t="shared" si="1"/>
        <v>2012</v>
      </c>
      <c r="H12" s="74">
        <f t="shared" si="1"/>
        <v>2013</v>
      </c>
      <c r="I12" s="74">
        <f t="shared" si="1"/>
        <v>2014</v>
      </c>
      <c r="J12" s="74">
        <f t="shared" si="1"/>
        <v>2015</v>
      </c>
      <c r="K12" s="74">
        <f t="shared" si="1"/>
        <v>2016</v>
      </c>
      <c r="L12" s="74">
        <f t="shared" si="1"/>
        <v>2017</v>
      </c>
      <c r="M12" s="74">
        <f t="shared" si="1"/>
        <v>2018</v>
      </c>
      <c r="N12" s="22"/>
      <c r="O12" s="23"/>
    </row>
    <row r="13" spans="1:15" ht="15.75" thickBot="1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3"/>
    </row>
    <row r="14" spans="1:15">
      <c r="A14" s="21"/>
      <c r="B14" s="70" t="s">
        <v>10</v>
      </c>
      <c r="C14" s="22"/>
      <c r="D14" s="32">
        <f>D5*(1+'Supuestos Iniciales'!$C$21)</f>
        <v>23669.834999999999</v>
      </c>
      <c r="E14" s="48">
        <f>E5*(1+'Supuestos Iniciales'!$C$21)</f>
        <v>24616.628400000001</v>
      </c>
      <c r="F14" s="48">
        <f>F5*(1+'Supuestos Iniciales'!$C$21)</f>
        <v>25601.293535999997</v>
      </c>
      <c r="G14" s="48">
        <f>G5*(1+'Supuestos Iniciales'!$C$21)</f>
        <v>26625.345277439999</v>
      </c>
      <c r="H14" s="48">
        <f>H5*(1+'Supuestos Iniciales'!$C$21)</f>
        <v>27690.359088537603</v>
      </c>
      <c r="I14" s="48">
        <f>I5*(1+'Supuestos Iniciales'!$C$21)</f>
        <v>28797.97345207911</v>
      </c>
      <c r="J14" s="48">
        <f>J5*(1+'Supuestos Iniciales'!$C$21)</f>
        <v>29949.892390162277</v>
      </c>
      <c r="K14" s="48">
        <f>K5*(1+'Supuestos Iniciales'!$C$21)</f>
        <v>31147.888085768769</v>
      </c>
      <c r="L14" s="48">
        <f>L5*(1+'Supuestos Iniciales'!$C$21)</f>
        <v>32393.803609199524</v>
      </c>
      <c r="M14" s="49">
        <f>M5*(1+'Supuestos Iniciales'!$C$21)</f>
        <v>33689.555753567503</v>
      </c>
      <c r="N14" s="22"/>
      <c r="O14" s="23"/>
    </row>
    <row r="15" spans="1:15">
      <c r="A15" s="21"/>
      <c r="B15" s="71" t="s">
        <v>5</v>
      </c>
      <c r="C15" s="22"/>
      <c r="D15" s="36">
        <f>D6*(1+'Supuestos Iniciales'!$C$22)</f>
        <v>2569.9152999999997</v>
      </c>
      <c r="E15" s="50">
        <f>E6*(1+'Supuestos Iniciales'!$C$22)</f>
        <v>2569.9152999999997</v>
      </c>
      <c r="F15" s="50">
        <f>F6*(1+'Supuestos Iniciales'!$C$22)</f>
        <v>2569.9152999999997</v>
      </c>
      <c r="G15" s="50">
        <f>G6*(1+'Supuestos Iniciales'!$C$22)</f>
        <v>2569.9152999999997</v>
      </c>
      <c r="H15" s="50">
        <f>H6*(1+'Supuestos Iniciales'!$C$22)</f>
        <v>2569.9152999999997</v>
      </c>
      <c r="I15" s="50">
        <f>I6*(1+'Supuestos Iniciales'!$C$22)</f>
        <v>2569.9152999999997</v>
      </c>
      <c r="J15" s="50">
        <f>J6*(1+'Supuestos Iniciales'!$C$22)</f>
        <v>2569.9152999999997</v>
      </c>
      <c r="K15" s="50">
        <f>K6*(1+'Supuestos Iniciales'!$C$22)</f>
        <v>2569.9152999999997</v>
      </c>
      <c r="L15" s="50">
        <f>L6*(1+'Supuestos Iniciales'!$C$22)</f>
        <v>2569.9152999999997</v>
      </c>
      <c r="M15" s="51">
        <f>M6*(1+'Supuestos Iniciales'!$C$22)</f>
        <v>2569.9152999999997</v>
      </c>
      <c r="N15" s="22"/>
      <c r="O15" s="23"/>
    </row>
    <row r="16" spans="1:15">
      <c r="A16" s="21"/>
      <c r="B16" s="72" t="s">
        <v>11</v>
      </c>
      <c r="C16" s="22"/>
      <c r="D16" s="40">
        <f>D7*(1+'Supuestos Iniciales'!$C$23)</f>
        <v>7936.2112500000003</v>
      </c>
      <c r="E16" s="42">
        <f>E7*(1+'Supuestos Iniciales'!$C$23)</f>
        <v>8333.0218124999992</v>
      </c>
      <c r="F16" s="42">
        <f>F7*(1+'Supuestos Iniciales'!$C$23)</f>
        <v>8749.6729031249997</v>
      </c>
      <c r="G16" s="42">
        <f>G7*(1+'Supuestos Iniciales'!$C$23)</f>
        <v>9187.1565482812512</v>
      </c>
      <c r="H16" s="42">
        <f>H7*(1+'Supuestos Iniciales'!$C$23)</f>
        <v>9646.514375695313</v>
      </c>
      <c r="I16" s="42">
        <f>I7*(1+'Supuestos Iniciales'!$C$23)</f>
        <v>10128.84009448008</v>
      </c>
      <c r="J16" s="42">
        <f>J7*(1+'Supuestos Iniciales'!$C$23)</f>
        <v>10635.282099204085</v>
      </c>
      <c r="K16" s="42">
        <f>K7*(1+'Supuestos Iniciales'!$C$23)</f>
        <v>11167.04620416429</v>
      </c>
      <c r="L16" s="42">
        <f>L7*(1+'Supuestos Iniciales'!$C$23)</f>
        <v>11725.398514372504</v>
      </c>
      <c r="M16" s="43">
        <f>M7*(1+'Supuestos Iniciales'!$C$23)</f>
        <v>12311.668440091129</v>
      </c>
      <c r="N16" s="22"/>
      <c r="O16" s="23"/>
    </row>
    <row r="17" spans="1:15" ht="15.75" thickBot="1">
      <c r="A17" s="21"/>
      <c r="B17" s="73" t="s">
        <v>12</v>
      </c>
      <c r="C17" s="22"/>
      <c r="D17" s="44">
        <f>D8*(1+'Supuestos Iniciales'!$C$24)</f>
        <v>4512.2937499999998</v>
      </c>
      <c r="E17" s="46">
        <f>E8*(1+'Supuestos Iniciales'!$C$24)</f>
        <v>4737.9084375000002</v>
      </c>
      <c r="F17" s="46">
        <f>F8*(1+'Supuestos Iniciales'!$C$24)</f>
        <v>4974.8038593750007</v>
      </c>
      <c r="G17" s="46">
        <f>G8*(1+'Supuestos Iniciales'!$C$24)</f>
        <v>5223.544052343751</v>
      </c>
      <c r="H17" s="46">
        <f>H8*(1+'Supuestos Iniciales'!$C$24)</f>
        <v>5484.7212549609394</v>
      </c>
      <c r="I17" s="46">
        <f>I8*(1+'Supuestos Iniciales'!$C$24)</f>
        <v>5758.957317708986</v>
      </c>
      <c r="J17" s="46">
        <f>J8*(1+'Supuestos Iniciales'!$C$24)</f>
        <v>6046.9051835944356</v>
      </c>
      <c r="K17" s="46">
        <f>K8*(1+'Supuestos Iniciales'!$C$24)</f>
        <v>6349.2504427741569</v>
      </c>
      <c r="L17" s="46">
        <f>L8*(1+'Supuestos Iniciales'!$C$24)</f>
        <v>6666.7129649128656</v>
      </c>
      <c r="M17" s="47">
        <f>M8*(1+'Supuestos Iniciales'!$C$24)</f>
        <v>7000.0486131585094</v>
      </c>
      <c r="N17" s="22"/>
      <c r="O17" s="23"/>
    </row>
    <row r="18" spans="1:15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3"/>
    </row>
    <row r="19" spans="1:15" ht="15.75" thickBot="1">
      <c r="A19" s="21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3"/>
    </row>
    <row r="20" spans="1:15" ht="15.75" thickBot="1">
      <c r="A20" s="21"/>
      <c r="B20" s="31" t="s">
        <v>100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3"/>
    </row>
    <row r="21" spans="1:15" ht="15.75" thickBot="1">
      <c r="A21" s="21"/>
      <c r="B21" s="22"/>
      <c r="C21" s="22"/>
      <c r="D21" s="74">
        <f>C3+1</f>
        <v>2009</v>
      </c>
      <c r="E21" s="74">
        <f t="shared" ref="E21:M21" si="2">D21+1</f>
        <v>2010</v>
      </c>
      <c r="F21" s="74">
        <f t="shared" si="2"/>
        <v>2011</v>
      </c>
      <c r="G21" s="74">
        <f t="shared" si="2"/>
        <v>2012</v>
      </c>
      <c r="H21" s="74">
        <f t="shared" si="2"/>
        <v>2013</v>
      </c>
      <c r="I21" s="74">
        <f t="shared" si="2"/>
        <v>2014</v>
      </c>
      <c r="J21" s="74">
        <f t="shared" si="2"/>
        <v>2015</v>
      </c>
      <c r="K21" s="74">
        <f t="shared" si="2"/>
        <v>2016</v>
      </c>
      <c r="L21" s="74">
        <f t="shared" si="2"/>
        <v>2017</v>
      </c>
      <c r="M21" s="74">
        <f t="shared" si="2"/>
        <v>2018</v>
      </c>
      <c r="N21" s="22"/>
      <c r="O21" s="23"/>
    </row>
    <row r="22" spans="1:15" ht="15.75" thickBot="1">
      <c r="A22" s="21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3"/>
    </row>
    <row r="23" spans="1:15">
      <c r="A23" s="21"/>
      <c r="B23" s="70" t="s">
        <v>10</v>
      </c>
      <c r="C23" s="22"/>
      <c r="D23" s="32">
        <f>D5*(1+'Supuestos Iniciales'!$F$21)</f>
        <v>14201.900999999998</v>
      </c>
      <c r="E23" s="48">
        <f>E5*(1+'Supuestos Iniciales'!$F$21)</f>
        <v>14769.97704</v>
      </c>
      <c r="F23" s="48">
        <f>F5*(1+'Supuestos Iniciales'!$F$21)</f>
        <v>15360.7761216</v>
      </c>
      <c r="G23" s="48">
        <f>G5*(1+'Supuestos Iniciales'!$F$21)</f>
        <v>15975.207166464001</v>
      </c>
      <c r="H23" s="48">
        <f>H5*(1+'Supuestos Iniciales'!$F$21)</f>
        <v>16614.215453122561</v>
      </c>
      <c r="I23" s="48">
        <f>I5*(1+'Supuestos Iniciales'!$F$21)</f>
        <v>17278.784071247464</v>
      </c>
      <c r="J23" s="48">
        <f>J5*(1+'Supuestos Iniciales'!$F$21)</f>
        <v>17969.935434097366</v>
      </c>
      <c r="K23" s="48">
        <f>K5*(1+'Supuestos Iniciales'!$F$21)</f>
        <v>18688.73285146126</v>
      </c>
      <c r="L23" s="48">
        <f>L5*(1+'Supuestos Iniciales'!$F$21)</f>
        <v>19436.282165519711</v>
      </c>
      <c r="M23" s="49">
        <f>M5*(1+'Supuestos Iniciales'!$F$21)</f>
        <v>20213.733452140499</v>
      </c>
      <c r="N23" s="22"/>
      <c r="O23" s="23"/>
    </row>
    <row r="24" spans="1:15">
      <c r="A24" s="21"/>
      <c r="B24" s="71" t="s">
        <v>5</v>
      </c>
      <c r="C24" s="22"/>
      <c r="D24" s="36">
        <f>D6*(1+'Supuestos Iniciales'!$F$22)</f>
        <v>2840.4327000000003</v>
      </c>
      <c r="E24" s="50">
        <f>E6*(1+'Supuestos Iniciales'!$F$22)</f>
        <v>2840.4327000000003</v>
      </c>
      <c r="F24" s="50">
        <f>F6*(1+'Supuestos Iniciales'!$F$22)</f>
        <v>2840.4327000000003</v>
      </c>
      <c r="G24" s="50">
        <f>G6*(1+'Supuestos Iniciales'!$F$22)</f>
        <v>2840.4327000000003</v>
      </c>
      <c r="H24" s="50">
        <f>H6*(1+'Supuestos Iniciales'!$F$22)</f>
        <v>2840.4327000000003</v>
      </c>
      <c r="I24" s="50">
        <f>I6*(1+'Supuestos Iniciales'!$F$22)</f>
        <v>2840.4327000000003</v>
      </c>
      <c r="J24" s="50">
        <f>J6*(1+'Supuestos Iniciales'!$F$22)</f>
        <v>2840.4327000000003</v>
      </c>
      <c r="K24" s="50">
        <f>K6*(1+'Supuestos Iniciales'!$F$22)</f>
        <v>2840.4327000000003</v>
      </c>
      <c r="L24" s="50">
        <f>L6*(1+'Supuestos Iniciales'!$F$22)</f>
        <v>2840.4327000000003</v>
      </c>
      <c r="M24" s="51">
        <f>M6*(1+'Supuestos Iniciales'!$F$22)</f>
        <v>2840.4327000000003</v>
      </c>
      <c r="N24" s="22"/>
      <c r="O24" s="23"/>
    </row>
    <row r="25" spans="1:15">
      <c r="A25" s="21"/>
      <c r="B25" s="72" t="s">
        <v>11</v>
      </c>
      <c r="C25" s="22"/>
      <c r="D25" s="40">
        <f>D7*(1+'Supuestos Iniciales'!$F$23)</f>
        <v>4761.7267499999998</v>
      </c>
      <c r="E25" s="42">
        <f>E7*(1+'Supuestos Iniciales'!$F$23)</f>
        <v>4999.8130874999997</v>
      </c>
      <c r="F25" s="42">
        <f>F7*(1+'Supuestos Iniciales'!$F$23)</f>
        <v>5249.803741875</v>
      </c>
      <c r="G25" s="42">
        <f>G7*(1+'Supuestos Iniciales'!$F$23)</f>
        <v>5512.2939289687502</v>
      </c>
      <c r="H25" s="42">
        <f>H7*(1+'Supuestos Iniciales'!$F$23)</f>
        <v>5787.908625417188</v>
      </c>
      <c r="I25" s="42">
        <f>I7*(1+'Supuestos Iniciales'!$F$23)</f>
        <v>6077.3040566880481</v>
      </c>
      <c r="J25" s="42">
        <f>J7*(1+'Supuestos Iniciales'!$F$23)</f>
        <v>6381.1692595224504</v>
      </c>
      <c r="K25" s="42">
        <f>K7*(1+'Supuestos Iniciales'!$F$23)</f>
        <v>6700.2277224985737</v>
      </c>
      <c r="L25" s="42">
        <f>L7*(1+'Supuestos Iniciales'!$F$23)</f>
        <v>7035.2391086235029</v>
      </c>
      <c r="M25" s="43">
        <f>M7*(1+'Supuestos Iniciales'!$F$23)</f>
        <v>7387.001064054678</v>
      </c>
      <c r="N25" s="22"/>
      <c r="O25" s="23"/>
    </row>
    <row r="26" spans="1:15" ht="15.75" thickBot="1">
      <c r="A26" s="21"/>
      <c r="B26" s="73" t="s">
        <v>12</v>
      </c>
      <c r="C26" s="22"/>
      <c r="D26" s="44">
        <f>D8*(1+'Supuestos Iniciales'!$F$24)</f>
        <v>2707.3762500000003</v>
      </c>
      <c r="E26" s="46">
        <f>E8*(1+'Supuestos Iniciales'!$F$24)</f>
        <v>2842.7450625000001</v>
      </c>
      <c r="F26" s="46">
        <f>F8*(1+'Supuestos Iniciales'!$F$24)</f>
        <v>2984.882315625</v>
      </c>
      <c r="G26" s="46">
        <f>G8*(1+'Supuestos Iniciales'!$F$24)</f>
        <v>3134.126431406251</v>
      </c>
      <c r="H26" s="46">
        <f>H8*(1+'Supuestos Iniciales'!$F$24)</f>
        <v>3290.8327529765634</v>
      </c>
      <c r="I26" s="46">
        <f>I8*(1+'Supuestos Iniciales'!$F$24)</f>
        <v>3455.3743906253912</v>
      </c>
      <c r="J26" s="46">
        <f>J8*(1+'Supuestos Iniciales'!$F$24)</f>
        <v>3628.1431101566614</v>
      </c>
      <c r="K26" s="46">
        <f>K8*(1+'Supuestos Iniciales'!$F$24)</f>
        <v>3809.5502656644944</v>
      </c>
      <c r="L26" s="46">
        <f>L8*(1+'Supuestos Iniciales'!$F$24)</f>
        <v>4000.0277789477191</v>
      </c>
      <c r="M26" s="47">
        <f>M8*(1+'Supuestos Iniciales'!$F$24)</f>
        <v>4200.0291678951053</v>
      </c>
      <c r="N26" s="22"/>
      <c r="O26" s="23"/>
    </row>
    <row r="27" spans="1:15">
      <c r="A27" s="21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3"/>
    </row>
    <row r="28" spans="1:15">
      <c r="A28" s="21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3"/>
    </row>
    <row r="29" spans="1:15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3"/>
    </row>
    <row r="30" spans="1:15">
      <c r="A30" s="21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3"/>
    </row>
    <row r="31" spans="1:15">
      <c r="A31" s="21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3"/>
    </row>
    <row r="32" spans="1:15">
      <c r="A32" s="21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3"/>
    </row>
    <row r="33" spans="1:15">
      <c r="A33" s="21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3"/>
    </row>
    <row r="34" spans="1:15" ht="15.75" thickBot="1">
      <c r="A34" s="28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30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31"/>
  <dimension ref="A1:P43"/>
  <sheetViews>
    <sheetView zoomScale="80" zoomScaleNormal="80" workbookViewId="0">
      <selection activeCell="E16" sqref="E16"/>
    </sheetView>
  </sheetViews>
  <sheetFormatPr baseColWidth="10" defaultRowHeight="15"/>
  <cols>
    <col min="1" max="1" width="4.7109375" style="20" customWidth="1"/>
    <col min="2" max="2" width="22" style="20" bestFit="1" customWidth="1"/>
    <col min="3" max="3" width="32.7109375" style="20" bestFit="1" customWidth="1"/>
    <col min="4" max="4" width="13.7109375" style="20" bestFit="1" customWidth="1"/>
    <col min="5" max="5" width="11.5703125" style="20" bestFit="1" customWidth="1"/>
    <col min="6" max="6" width="12" style="20" customWidth="1"/>
    <col min="7" max="7" width="11.7109375" style="20" bestFit="1" customWidth="1"/>
    <col min="8" max="12" width="11.7109375" style="20" customWidth="1"/>
    <col min="13" max="13" width="12.7109375" style="20" bestFit="1" customWidth="1"/>
    <col min="14" max="15" width="11.5703125" style="20" bestFit="1" customWidth="1"/>
    <col min="16" max="16384" width="11.42578125" style="20"/>
  </cols>
  <sheetData>
    <row r="1" spans="1:16" ht="15.75" thickBot="1">
      <c r="A1" s="17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9"/>
    </row>
    <row r="2" spans="1:16" ht="15.75" thickBot="1">
      <c r="A2" s="21"/>
      <c r="B2" s="167" t="s">
        <v>42</v>
      </c>
      <c r="C2" s="168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3"/>
    </row>
    <row r="3" spans="1:16" ht="15.75" thickBot="1">
      <c r="A3" s="21"/>
      <c r="B3" s="79" t="str">
        <f>'Supuestos Iniciales'!F10</f>
        <v>Miles de Euros</v>
      </c>
      <c r="C3" s="22"/>
      <c r="D3" s="75">
        <f>PyG_10!D3</f>
        <v>2009</v>
      </c>
      <c r="E3" s="75">
        <f>D3+1</f>
        <v>2010</v>
      </c>
      <c r="F3" s="75">
        <f t="shared" ref="F3:M3" si="0">E3+1</f>
        <v>2011</v>
      </c>
      <c r="G3" s="75">
        <f t="shared" si="0"/>
        <v>2012</v>
      </c>
      <c r="H3" s="75">
        <f t="shared" si="0"/>
        <v>2013</v>
      </c>
      <c r="I3" s="75">
        <f t="shared" si="0"/>
        <v>2014</v>
      </c>
      <c r="J3" s="75">
        <f t="shared" si="0"/>
        <v>2015</v>
      </c>
      <c r="K3" s="75">
        <f t="shared" si="0"/>
        <v>2016</v>
      </c>
      <c r="L3" s="75">
        <f t="shared" si="0"/>
        <v>2017</v>
      </c>
      <c r="M3" s="75">
        <f t="shared" si="0"/>
        <v>2018</v>
      </c>
      <c r="N3" s="75" t="s">
        <v>3</v>
      </c>
      <c r="O3" s="22"/>
      <c r="P3" s="23"/>
    </row>
    <row r="4" spans="1:16" ht="15.75" thickBot="1">
      <c r="A4" s="21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3"/>
    </row>
    <row r="5" spans="1:16" ht="15.75" thickBot="1">
      <c r="A5" s="21"/>
      <c r="B5" s="164" t="s">
        <v>43</v>
      </c>
      <c r="C5" s="166"/>
      <c r="D5" s="24">
        <f>SUM(D6:D10)</f>
        <v>4009.9942999999985</v>
      </c>
      <c r="E5" s="24">
        <f t="shared" ref="E5:L5" si="1">SUM(E6:E10)</f>
        <v>4061.4484949999951</v>
      </c>
      <c r="F5" s="24">
        <f t="shared" si="1"/>
        <v>4114.5000095499981</v>
      </c>
      <c r="G5" s="24">
        <f t="shared" si="1"/>
        <v>4169.1596072895018</v>
      </c>
      <c r="H5" s="24">
        <f t="shared" si="1"/>
        <v>4225.433686874394</v>
      </c>
      <c r="I5" s="24">
        <f t="shared" si="1"/>
        <v>4283.3237152260381</v>
      </c>
      <c r="J5" s="24">
        <f t="shared" si="1"/>
        <v>4342.8256076252901</v>
      </c>
      <c r="K5" s="24">
        <f t="shared" si="1"/>
        <v>4403.929050222564</v>
      </c>
      <c r="L5" s="24">
        <f t="shared" si="1"/>
        <v>4466.6167601873158</v>
      </c>
      <c r="M5" s="24">
        <f>SUM(M6:M10)</f>
        <v>4530.8636783451248</v>
      </c>
      <c r="N5" s="25">
        <f>M5/(H12-'Supuestos Iniciales'!C40)</f>
        <v>74776.4198449088</v>
      </c>
      <c r="O5" s="22"/>
      <c r="P5" s="23"/>
    </row>
    <row r="6" spans="1:16">
      <c r="A6" s="21"/>
      <c r="B6" s="22"/>
      <c r="C6" s="22" t="s">
        <v>35</v>
      </c>
      <c r="D6" s="22">
        <f>PyG_10!D7</f>
        <v>6348.9690000000001</v>
      </c>
      <c r="E6" s="22">
        <f>PyG_10!E7</f>
        <v>6666.4174499999999</v>
      </c>
      <c r="F6" s="22">
        <f>PyG_10!F7</f>
        <v>6999.7383225000003</v>
      </c>
      <c r="G6" s="22">
        <f>PyG_10!G7</f>
        <v>7349.7252386250002</v>
      </c>
      <c r="H6" s="22">
        <f>PyG_10!H7</f>
        <v>7717.2115005562509</v>
      </c>
      <c r="I6" s="22">
        <f>PyG_10!I7</f>
        <v>8103.0720755840639</v>
      </c>
      <c r="J6" s="22">
        <f>PyG_10!J7</f>
        <v>8508.2256793632678</v>
      </c>
      <c r="K6" s="22">
        <f>PyG_10!K7</f>
        <v>8933.6369633314316</v>
      </c>
      <c r="L6" s="22">
        <f>PyG_10!L7</f>
        <v>9380.3188114980039</v>
      </c>
      <c r="M6" s="22">
        <f>PyG_10!M7</f>
        <v>9849.3347520729039</v>
      </c>
      <c r="N6" s="22"/>
      <c r="O6" s="22"/>
      <c r="P6" s="23"/>
    </row>
    <row r="7" spans="1:16">
      <c r="A7" s="21"/>
      <c r="B7" s="22"/>
      <c r="C7" s="22" t="s">
        <v>53</v>
      </c>
      <c r="D7" s="22">
        <f>-PyG_10!D7*('Supuestos Iniciales'!$C$39)</f>
        <v>-1904.6906999999999</v>
      </c>
      <c r="E7" s="22">
        <f>-PyG_10!E7*('Supuestos Iniciales'!$C$39)</f>
        <v>-1999.9252349999999</v>
      </c>
      <c r="F7" s="22">
        <f>-PyG_10!F7*('Supuestos Iniciales'!$C$39)</f>
        <v>-2099.9214967500002</v>
      </c>
      <c r="G7" s="22">
        <f>-PyG_10!G7*('Supuestos Iniciales'!$C$39)</f>
        <v>-2204.9175715874999</v>
      </c>
      <c r="H7" s="22">
        <f>-PyG_10!H7*('Supuestos Iniciales'!$C$39)</f>
        <v>-2315.163450166875</v>
      </c>
      <c r="I7" s="22">
        <f>-PyG_10!I7*('Supuestos Iniciales'!$C$39)</f>
        <v>-2430.9216226752192</v>
      </c>
      <c r="J7" s="22">
        <f>-PyG_10!J7*('Supuestos Iniciales'!$C$39)</f>
        <v>-2552.4677038089803</v>
      </c>
      <c r="K7" s="22">
        <f>-PyG_10!K7*('Supuestos Iniciales'!$C$39)</f>
        <v>-2680.0910889994293</v>
      </c>
      <c r="L7" s="22">
        <f>-PyG_10!L7*('Supuestos Iniciales'!$C$39)</f>
        <v>-2814.095643449401</v>
      </c>
      <c r="M7" s="22">
        <f>-PyG_10!M7*('Supuestos Iniciales'!C39)</f>
        <v>-2954.800425621871</v>
      </c>
      <c r="N7" s="22"/>
      <c r="O7" s="22"/>
      <c r="P7" s="23"/>
    </row>
    <row r="8" spans="1:16">
      <c r="A8" s="21"/>
      <c r="B8" s="22"/>
      <c r="C8" s="22" t="s">
        <v>28</v>
      </c>
      <c r="D8" s="22">
        <f>PyG_10!D6</f>
        <v>2705.174</v>
      </c>
      <c r="E8" s="22">
        <f>PyG_10!E6</f>
        <v>2705.174</v>
      </c>
      <c r="F8" s="22">
        <f>PyG_10!F6</f>
        <v>2705.174</v>
      </c>
      <c r="G8" s="22">
        <f>PyG_10!G6</f>
        <v>2705.174</v>
      </c>
      <c r="H8" s="22">
        <f>PyG_10!H6</f>
        <v>2705.174</v>
      </c>
      <c r="I8" s="22">
        <f>PyG_10!I6</f>
        <v>2705.174</v>
      </c>
      <c r="J8" s="22">
        <f>PyG_10!J6</f>
        <v>2705.174</v>
      </c>
      <c r="K8" s="22">
        <f>PyG_10!K6</f>
        <v>2705.174</v>
      </c>
      <c r="L8" s="22">
        <f>PyG_10!L6</f>
        <v>2705.174</v>
      </c>
      <c r="M8" s="22">
        <f>PyG_10!M6</f>
        <v>2705.174</v>
      </c>
      <c r="N8" s="22"/>
      <c r="O8" s="22"/>
      <c r="P8" s="23"/>
    </row>
    <row r="9" spans="1:16">
      <c r="A9" s="21"/>
      <c r="B9" s="22"/>
      <c r="C9" s="22" t="s">
        <v>30</v>
      </c>
      <c r="D9" s="22">
        <f>-(Balance_10!D6-Balance_10!C6+D8)</f>
        <v>-2467.3050000000012</v>
      </c>
      <c r="E9" s="22">
        <f>-(Balance_10!E6-Balance_10!D6+E8)</f>
        <v>-2590.6702500000038</v>
      </c>
      <c r="F9" s="22">
        <f>-(Balance_10!F6-Balance_10!E6+F8)</f>
        <v>-2720.2037625000021</v>
      </c>
      <c r="G9" s="22">
        <f>-(Balance_10!G6-Balance_10!F6+G8)</f>
        <v>-2856.213950624996</v>
      </c>
      <c r="H9" s="22">
        <f>-(Balance_10!H6-Balance_10!G6+H8)</f>
        <v>-2999.0246481562508</v>
      </c>
      <c r="I9" s="22">
        <f>-(Balance_10!I6-Balance_10!H6+I8)</f>
        <v>-3148.9758805640749</v>
      </c>
      <c r="J9" s="22">
        <f>-(Balance_10!J6-Balance_10!I6+J8)</f>
        <v>-3306.4246745922728</v>
      </c>
      <c r="K9" s="22">
        <f>-(Balance_10!K6-Balance_10!J6+K8)</f>
        <v>-3471.7459083218864</v>
      </c>
      <c r="L9" s="22">
        <f>-(Balance_10!L6-Balance_10!K6+L8)</f>
        <v>-3645.3332037379741</v>
      </c>
      <c r="M9" s="22">
        <f>-(Balance_10!M6-Balance_10!L6+M8)</f>
        <v>-3827.5998639248728</v>
      </c>
      <c r="N9" s="22"/>
      <c r="O9" s="22"/>
      <c r="P9" s="23"/>
    </row>
    <row r="10" spans="1:16">
      <c r="A10" s="21"/>
      <c r="B10" s="22"/>
      <c r="C10" s="22" t="s">
        <v>29</v>
      </c>
      <c r="D10" s="22">
        <f>-((Balance_10!D12+Balance_10!D13-Balance_10!D23)-(Balance_10!C12+Balance_10!C13-Balance_10!C23))</f>
        <v>-672.15300000000025</v>
      </c>
      <c r="E10" s="22">
        <f>-((Balance_10!E12+Balance_10!E13-Balance_10!E23)-(Balance_10!D12+Balance_10!D13-Balance_10!D23))</f>
        <v>-719.54747000000134</v>
      </c>
      <c r="F10" s="22">
        <f>-((Balance_10!F12+Balance_10!F13-Balance_10!F23)-(Balance_10!E12+Balance_10!E13-Balance_10!E23))</f>
        <v>-770.28705369999989</v>
      </c>
      <c r="G10" s="22">
        <f>-((Balance_10!G12+Balance_10!G13-Balance_10!G23)-(Balance_10!F12+Balance_10!F13-Balance_10!F23))</f>
        <v>-824.60810912300258</v>
      </c>
      <c r="H10" s="22">
        <f>-((Balance_10!H12+Balance_10!H13-Balance_10!H23)-(Balance_10!G12+Balance_10!G13-Balance_10!G23))</f>
        <v>-882.76371535873113</v>
      </c>
      <c r="I10" s="22">
        <f>-((Balance_10!I12+Balance_10!I13-Balance_10!I23)-(Balance_10!H12+Balance_10!H13-Balance_10!H23))</f>
        <v>-945.02485711873123</v>
      </c>
      <c r="J10" s="22">
        <f>-((Balance_10!J12+Balance_10!J13-Balance_10!J23)-(Balance_10!I12+Balance_10!I13-Balance_10!I23))</f>
        <v>-1011.6816933367245</v>
      </c>
      <c r="K10" s="22">
        <f>-((Balance_10!K12+Balance_10!K13-Balance_10!K23)-(Balance_10!J12+Balance_10!J13-Balance_10!J23))</f>
        <v>-1083.0449157875519</v>
      </c>
      <c r="L10" s="22">
        <f>-((Balance_10!L12+Balance_10!L13-Balance_10!L23)-(Balance_10!K12+Balance_10!K13-Balance_10!K23))</f>
        <v>-1159.447204123313</v>
      </c>
      <c r="M10" s="22">
        <f>-((Balance_10!M12+Balance_10!M13-Balance_10!M23)-(Balance_10!L12+Balance_10!L13-Balance_10!L23))</f>
        <v>-1241.2447841810354</v>
      </c>
      <c r="N10" s="22"/>
      <c r="O10" s="22"/>
      <c r="P10" s="23"/>
    </row>
    <row r="11" spans="1:16" ht="15.75" thickBot="1">
      <c r="A11" s="21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3"/>
    </row>
    <row r="12" spans="1:16" ht="15.75" thickBot="1">
      <c r="A12" s="21"/>
      <c r="B12" s="164" t="s">
        <v>44</v>
      </c>
      <c r="C12" s="165"/>
      <c r="D12" s="26">
        <f>NPV(H12,D5:N5)</f>
        <v>60147.340649040278</v>
      </c>
      <c r="E12" s="22"/>
      <c r="F12" s="22"/>
      <c r="G12" s="27" t="s">
        <v>1</v>
      </c>
      <c r="H12" s="77">
        <f>(('Supuestos Iniciales'!C41*Balance_10!C20)+(Balance_10!C21+Balance_10!C22)*'Supuestos Iniciales'!C42)/Balance_10!C18</f>
        <v>8.0592145060467371E-2</v>
      </c>
      <c r="I12" s="22"/>
      <c r="J12" s="22"/>
      <c r="K12" s="22"/>
      <c r="L12" s="22"/>
      <c r="M12" s="22"/>
      <c r="N12" s="22"/>
      <c r="O12" s="22"/>
      <c r="P12" s="23"/>
    </row>
    <row r="13" spans="1:16" ht="15.75" thickBot="1">
      <c r="A13" s="21"/>
      <c r="B13" s="22"/>
      <c r="C13" s="22" t="s">
        <v>31</v>
      </c>
      <c r="D13" s="22">
        <f>Balance_10!C21+Balance_10!C24</f>
        <v>33177.64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3"/>
    </row>
    <row r="14" spans="1:16" ht="15.75" thickBot="1">
      <c r="A14" s="21"/>
      <c r="B14" s="164" t="s">
        <v>45</v>
      </c>
      <c r="C14" s="165"/>
      <c r="D14" s="26">
        <f>D12-D13</f>
        <v>26969.700649040278</v>
      </c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3"/>
    </row>
    <row r="15" spans="1:16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3"/>
    </row>
    <row r="16" spans="1:16" ht="15.75" thickBot="1">
      <c r="A16" s="21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3"/>
    </row>
    <row r="17" spans="1:16" ht="15.75" thickBot="1">
      <c r="A17" s="21"/>
      <c r="B17" s="22"/>
      <c r="C17" s="22"/>
      <c r="D17" s="75">
        <f>D3</f>
        <v>2009</v>
      </c>
      <c r="E17" s="75">
        <f t="shared" ref="E17:M17" si="2">E3</f>
        <v>2010</v>
      </c>
      <c r="F17" s="75">
        <f t="shared" si="2"/>
        <v>2011</v>
      </c>
      <c r="G17" s="75">
        <f t="shared" si="2"/>
        <v>2012</v>
      </c>
      <c r="H17" s="75">
        <f t="shared" si="2"/>
        <v>2013</v>
      </c>
      <c r="I17" s="75">
        <f t="shared" si="2"/>
        <v>2014</v>
      </c>
      <c r="J17" s="75">
        <f t="shared" si="2"/>
        <v>2015</v>
      </c>
      <c r="K17" s="75">
        <f t="shared" si="2"/>
        <v>2016</v>
      </c>
      <c r="L17" s="75">
        <f t="shared" si="2"/>
        <v>2017</v>
      </c>
      <c r="M17" s="75">
        <f t="shared" si="2"/>
        <v>2018</v>
      </c>
      <c r="N17" s="75" t="s">
        <v>3</v>
      </c>
      <c r="O17" s="22"/>
      <c r="P17" s="23"/>
    </row>
    <row r="18" spans="1:16" ht="15.75" thickBot="1">
      <c r="A18" s="21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3"/>
    </row>
    <row r="19" spans="1:16" ht="15.75" thickBot="1">
      <c r="A19" s="21"/>
      <c r="B19" s="164" t="s">
        <v>46</v>
      </c>
      <c r="C19" s="166"/>
      <c r="D19" s="24">
        <f>SUM(D20:D24)</f>
        <v>1675.5874549999962</v>
      </c>
      <c r="E19" s="24">
        <f t="shared" ref="E19:L19" si="3">SUM(E20:E24)</f>
        <v>4912.5397525500002</v>
      </c>
      <c r="F19" s="24">
        <f t="shared" si="3"/>
        <v>5013.8642724395022</v>
      </c>
      <c r="G19" s="24">
        <f t="shared" si="3"/>
        <v>5119.136520281897</v>
      </c>
      <c r="H19" s="24">
        <f t="shared" si="3"/>
        <v>5228.4746253039075</v>
      </c>
      <c r="I19" s="24">
        <f t="shared" si="3"/>
        <v>5341.9969982070679</v>
      </c>
      <c r="J19" s="24">
        <f t="shared" si="3"/>
        <v>5459.8219453334141</v>
      </c>
      <c r="K19" s="24">
        <f t="shared" si="3"/>
        <v>5582.0672350537252</v>
      </c>
      <c r="L19" s="24">
        <f t="shared" si="3"/>
        <v>5708.8496119548408</v>
      </c>
      <c r="M19" s="24">
        <f>SUM(M20:M24)</f>
        <v>5840.284254038369</v>
      </c>
      <c r="N19" s="25">
        <f>M19/(H26-'Supuestos Iniciales'!C40)</f>
        <v>96386.821232522983</v>
      </c>
      <c r="O19" s="22"/>
      <c r="P19" s="23"/>
    </row>
    <row r="20" spans="1:16">
      <c r="A20" s="21"/>
      <c r="B20" s="22"/>
      <c r="C20" s="22" t="s">
        <v>35</v>
      </c>
      <c r="D20" s="22">
        <f>PyG_10!D16</f>
        <v>7936.2112500000003</v>
      </c>
      <c r="E20" s="22">
        <f>PyG_10!E16</f>
        <v>8333.0218124999992</v>
      </c>
      <c r="F20" s="22">
        <f>PyG_10!F16</f>
        <v>8749.6729031249997</v>
      </c>
      <c r="G20" s="22">
        <f>PyG_10!G16</f>
        <v>9187.1565482812512</v>
      </c>
      <c r="H20" s="22">
        <f>PyG_10!H16</f>
        <v>9646.514375695313</v>
      </c>
      <c r="I20" s="22">
        <f>PyG_10!I16</f>
        <v>10128.84009448008</v>
      </c>
      <c r="J20" s="22">
        <f>PyG_10!J16</f>
        <v>10635.282099204085</v>
      </c>
      <c r="K20" s="22">
        <f>PyG_10!K16</f>
        <v>11167.04620416429</v>
      </c>
      <c r="L20" s="22">
        <f>PyG_10!L16</f>
        <v>11725.398514372504</v>
      </c>
      <c r="M20" s="22">
        <f>PyG_10!M16</f>
        <v>12311.668440091129</v>
      </c>
      <c r="N20" s="22"/>
      <c r="O20" s="22"/>
      <c r="P20" s="23"/>
    </row>
    <row r="21" spans="1:16">
      <c r="A21" s="21"/>
      <c r="B21" s="22"/>
      <c r="C21" s="22" t="s">
        <v>54</v>
      </c>
      <c r="D21" s="22">
        <f>-PyG_10!D16*'Supuestos Iniciales'!$C$39</f>
        <v>-2380.8633749999999</v>
      </c>
      <c r="E21" s="22">
        <f>-PyG_10!E16*'Supuestos Iniciales'!$C$39</f>
        <v>-2499.9065437499999</v>
      </c>
      <c r="F21" s="22">
        <f>-PyG_10!F16*'Supuestos Iniciales'!$C$39</f>
        <v>-2624.9018709375</v>
      </c>
      <c r="G21" s="22">
        <f>-PyG_10!G16*'Supuestos Iniciales'!$C$39</f>
        <v>-2756.1469644843751</v>
      </c>
      <c r="H21" s="22">
        <f>-PyG_10!H16*'Supuestos Iniciales'!$C$39</f>
        <v>-2893.954312708594</v>
      </c>
      <c r="I21" s="22">
        <f>-PyG_10!I16*'Supuestos Iniciales'!$C$39</f>
        <v>-3038.6520283440236</v>
      </c>
      <c r="J21" s="22">
        <f>-PyG_10!J16*'Supuestos Iniciales'!$C$39</f>
        <v>-3190.5846297612256</v>
      </c>
      <c r="K21" s="22">
        <f>-PyG_10!K16*'Supuestos Iniciales'!$C$39</f>
        <v>-3350.1138612492869</v>
      </c>
      <c r="L21" s="22">
        <f>-PyG_10!L16*'Supuestos Iniciales'!$C$39</f>
        <v>-3517.619554311751</v>
      </c>
      <c r="M21" s="22">
        <f>-PyG_10!M16*'Supuestos Iniciales'!$C$39</f>
        <v>-3693.5005320273385</v>
      </c>
      <c r="N21" s="22"/>
      <c r="O21" s="22"/>
      <c r="P21" s="23"/>
    </row>
    <row r="22" spans="1:16">
      <c r="A22" s="21"/>
      <c r="B22" s="22"/>
      <c r="C22" s="22" t="s">
        <v>28</v>
      </c>
      <c r="D22" s="22">
        <f>PyG_10!D15</f>
        <v>2569.9152999999997</v>
      </c>
      <c r="E22" s="22">
        <f>PyG_10!E15</f>
        <v>2569.9152999999997</v>
      </c>
      <c r="F22" s="22">
        <f>PyG_10!F15</f>
        <v>2569.9152999999997</v>
      </c>
      <c r="G22" s="22">
        <f>PyG_10!G15</f>
        <v>2569.9152999999997</v>
      </c>
      <c r="H22" s="22">
        <f>PyG_10!H15</f>
        <v>2569.9152999999997</v>
      </c>
      <c r="I22" s="22">
        <f>PyG_10!I15</f>
        <v>2569.9152999999997</v>
      </c>
      <c r="J22" s="22">
        <f>PyG_10!J15</f>
        <v>2569.9152999999997</v>
      </c>
      <c r="K22" s="22">
        <f>PyG_10!K15</f>
        <v>2569.9152999999997</v>
      </c>
      <c r="L22" s="22">
        <f>PyG_10!L15</f>
        <v>2569.9152999999997</v>
      </c>
      <c r="M22" s="22">
        <f>PyG_10!M15</f>
        <v>2569.9152999999997</v>
      </c>
      <c r="N22" s="22"/>
      <c r="O22" s="22"/>
      <c r="P22" s="23"/>
    </row>
    <row r="23" spans="1:16">
      <c r="A23" s="21"/>
      <c r="B23" s="22"/>
      <c r="C23" s="22" t="s">
        <v>30</v>
      </c>
      <c r="D23" s="22">
        <f>-(Balance_10!O6-Balance_10!C6+D22)</f>
        <v>-5057.9752500000022</v>
      </c>
      <c r="E23" s="22">
        <f>-(Balance_10!P6-Balance_10!O6+E22)</f>
        <v>-2720.2037625000003</v>
      </c>
      <c r="F23" s="22">
        <f>-(Balance_10!Q6-Balance_10!P6+F22)</f>
        <v>-2856.2139506249941</v>
      </c>
      <c r="G23" s="22">
        <f>-(Balance_10!R6-Balance_10!Q6+G22)</f>
        <v>-2999.024648156249</v>
      </c>
      <c r="H23" s="22">
        <f>-(Balance_10!S6-Balance_10!R6+H22)</f>
        <v>-3148.9758805640804</v>
      </c>
      <c r="I23" s="22">
        <f>-(Balance_10!T6-Balance_10!S6+I22)</f>
        <v>-3306.4246745922637</v>
      </c>
      <c r="J23" s="22">
        <f>-(Balance_10!U6-Balance_10!T6+J22)</f>
        <v>-3471.7459083218919</v>
      </c>
      <c r="K23" s="22">
        <f>-(Balance_10!V6-Balance_10!U6+K22)</f>
        <v>-3645.3332037379651</v>
      </c>
      <c r="L23" s="22">
        <f>-(Balance_10!W6-Balance_10!V6+L22)</f>
        <v>-3827.5998639248783</v>
      </c>
      <c r="M23" s="22">
        <f>-(Balance_10!X6-Balance_10!W6+M22)</f>
        <v>-4018.9798571211059</v>
      </c>
      <c r="N23" s="22"/>
      <c r="O23" s="22"/>
      <c r="P23" s="23"/>
    </row>
    <row r="24" spans="1:16">
      <c r="A24" s="21"/>
      <c r="B24" s="22"/>
      <c r="C24" s="22" t="s">
        <v>29</v>
      </c>
      <c r="D24" s="22">
        <f>-((Balance_10!O12+Balance_10!O13-Balance_10!O23)-(Balance_10!C12+Balance_10!C13-Balance_10!C23))</f>
        <v>-1391.7004700000016</v>
      </c>
      <c r="E24" s="22">
        <f>-((Balance_10!P12+Balance_10!P13-Balance_10!P23)-(Balance_10!O12+Balance_10!O13-Balance_10!O23))</f>
        <v>-770.28705369999989</v>
      </c>
      <c r="F24" s="22">
        <f>-((Balance_10!Q12+Balance_10!Q13-Balance_10!Q23)-(Balance_10!P12+Balance_10!P13-Balance_10!P23))</f>
        <v>-824.60810912300258</v>
      </c>
      <c r="G24" s="22">
        <f>-((Balance_10!R12+Balance_10!R13-Balance_10!R23)-(Balance_10!Q12+Balance_10!Q13-Balance_10!Q23))</f>
        <v>-882.76371535873113</v>
      </c>
      <c r="H24" s="22">
        <f>-((Balance_10!S12+Balance_10!S13-Balance_10!S23)-(Balance_10!R12+Balance_10!R13-Balance_10!R23))</f>
        <v>-945.02485711873123</v>
      </c>
      <c r="I24" s="22">
        <f>-((Balance_10!T12+Balance_10!T13-Balance_10!T23)-(Balance_10!S12+Balance_10!S13-Balance_10!S23))</f>
        <v>-1011.6816933367245</v>
      </c>
      <c r="J24" s="22">
        <f>-((Balance_10!U12+Balance_10!U13-Balance_10!U23)-(Balance_10!T12+Balance_10!T13-Balance_10!T23))</f>
        <v>-1083.0449157875519</v>
      </c>
      <c r="K24" s="22">
        <f>-((Balance_10!V12+Balance_10!V13-Balance_10!V23)-(Balance_10!U12+Balance_10!U13-Balance_10!U23))</f>
        <v>-1159.447204123313</v>
      </c>
      <c r="L24" s="22">
        <f>-((Balance_10!W12+Balance_10!W13-Balance_10!W23)-(Balance_10!V12+Balance_10!V13-Balance_10!V23))</f>
        <v>-1241.2447841810354</v>
      </c>
      <c r="M24" s="22">
        <f>-((Balance_10!X12+Balance_10!X13-Balance_10!X23)-(Balance_10!W12+Balance_10!W13-Balance_10!W23))</f>
        <v>-1328.8190969043171</v>
      </c>
      <c r="N24" s="22"/>
      <c r="O24" s="22"/>
      <c r="P24" s="23"/>
    </row>
    <row r="25" spans="1:16" ht="15.75" thickBot="1">
      <c r="A25" s="21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3"/>
    </row>
    <row r="26" spans="1:16" ht="15.75" thickBot="1">
      <c r="A26" s="21"/>
      <c r="B26" s="164" t="s">
        <v>47</v>
      </c>
      <c r="C26" s="165"/>
      <c r="D26" s="26">
        <f>NPV(H26,D19:N19)</f>
        <v>73188.32277017663</v>
      </c>
      <c r="E26" s="22"/>
      <c r="F26" s="22"/>
      <c r="G26" s="27" t="s">
        <v>1</v>
      </c>
      <c r="H26" s="77">
        <f>(('Supuestos Iniciales'!C41*Balance_10!C20)+(Balance_10!C21+Balance_10!C22)*'Supuestos Iniciales'!C42)/Balance_10!C18</f>
        <v>8.0592145060467371E-2</v>
      </c>
      <c r="I26" s="22"/>
      <c r="J26" s="22"/>
      <c r="K26" s="22"/>
      <c r="L26" s="22"/>
      <c r="M26" s="22"/>
      <c r="N26" s="22"/>
      <c r="O26" s="22"/>
      <c r="P26" s="23"/>
    </row>
    <row r="27" spans="1:16" ht="15.75" thickBot="1">
      <c r="A27" s="21"/>
      <c r="B27" s="22"/>
      <c r="C27" s="22" t="s">
        <v>31</v>
      </c>
      <c r="D27" s="22">
        <f>D13</f>
        <v>33177.64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3"/>
    </row>
    <row r="28" spans="1:16" ht="15.75" thickBot="1">
      <c r="A28" s="21"/>
      <c r="B28" s="164" t="s">
        <v>45</v>
      </c>
      <c r="C28" s="165"/>
      <c r="D28" s="26">
        <f>D26-D27</f>
        <v>40010.682770176631</v>
      </c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3"/>
    </row>
    <row r="29" spans="1:16">
      <c r="A29" s="21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3"/>
    </row>
    <row r="30" spans="1:16" ht="15.75" thickBot="1">
      <c r="A30" s="21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3"/>
    </row>
    <row r="31" spans="1:16" ht="15.75" thickBot="1">
      <c r="A31" s="21"/>
      <c r="B31" s="22"/>
      <c r="C31" s="22"/>
      <c r="D31" s="75">
        <f>D17</f>
        <v>2009</v>
      </c>
      <c r="E31" s="75">
        <f t="shared" ref="E31:M31" si="4">E17</f>
        <v>2010</v>
      </c>
      <c r="F31" s="75">
        <f t="shared" si="4"/>
        <v>2011</v>
      </c>
      <c r="G31" s="75">
        <f t="shared" si="4"/>
        <v>2012</v>
      </c>
      <c r="H31" s="75">
        <f t="shared" si="4"/>
        <v>2013</v>
      </c>
      <c r="I31" s="75">
        <f t="shared" si="4"/>
        <v>2014</v>
      </c>
      <c r="J31" s="75">
        <f t="shared" si="4"/>
        <v>2015</v>
      </c>
      <c r="K31" s="75">
        <f t="shared" si="4"/>
        <v>2016</v>
      </c>
      <c r="L31" s="75">
        <f t="shared" si="4"/>
        <v>2017</v>
      </c>
      <c r="M31" s="75">
        <f t="shared" si="4"/>
        <v>2018</v>
      </c>
      <c r="N31" s="75" t="s">
        <v>3</v>
      </c>
      <c r="O31" s="22"/>
      <c r="P31" s="23"/>
    </row>
    <row r="32" spans="1:16" ht="15.75" thickBot="1">
      <c r="A32" s="21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3"/>
    </row>
    <row r="33" spans="1:16" ht="15.75" thickBot="1">
      <c r="A33" s="21"/>
      <c r="B33" s="164" t="s">
        <v>48</v>
      </c>
      <c r="C33" s="166"/>
      <c r="D33" s="24">
        <f>SUM(D34:D38)</f>
        <v>6344.4011450000007</v>
      </c>
      <c r="E33" s="24">
        <f t="shared" ref="E33:L33" si="5">SUM(E34:E38)</f>
        <v>3210.357237449999</v>
      </c>
      <c r="F33" s="24">
        <f t="shared" si="5"/>
        <v>3215.1357466604968</v>
      </c>
      <c r="G33" s="24">
        <f t="shared" si="5"/>
        <v>3219.1826942970974</v>
      </c>
      <c r="H33" s="24">
        <f t="shared" si="5"/>
        <v>3222.3927484448704</v>
      </c>
      <c r="I33" s="24">
        <f t="shared" si="5"/>
        <v>3224.6504322450319</v>
      </c>
      <c r="J33" s="24">
        <f t="shared" si="5"/>
        <v>3225.8292699171634</v>
      </c>
      <c r="K33" s="24">
        <f t="shared" si="5"/>
        <v>3225.7908653914219</v>
      </c>
      <c r="L33" s="24">
        <f t="shared" si="5"/>
        <v>3224.3839084197789</v>
      </c>
      <c r="M33" s="24">
        <f>SUM(M34:M38)</f>
        <v>3221.4431026518923</v>
      </c>
      <c r="N33" s="25">
        <f>M33/(H40-'Supuestos Iniciales'!C40)</f>
        <v>53166.018457294806</v>
      </c>
      <c r="O33" s="22"/>
      <c r="P33" s="23"/>
    </row>
    <row r="34" spans="1:16">
      <c r="A34" s="21"/>
      <c r="B34" s="22"/>
      <c r="C34" s="22" t="s">
        <v>35</v>
      </c>
      <c r="D34" s="22">
        <f>PyG_10!D25</f>
        <v>4761.7267499999998</v>
      </c>
      <c r="E34" s="22">
        <f>PyG_10!E25</f>
        <v>4999.8130874999997</v>
      </c>
      <c r="F34" s="22">
        <f>PyG_10!F25</f>
        <v>5249.803741875</v>
      </c>
      <c r="G34" s="22">
        <f>PyG_10!G25</f>
        <v>5512.2939289687502</v>
      </c>
      <c r="H34" s="22">
        <f>PyG_10!H25</f>
        <v>5787.908625417188</v>
      </c>
      <c r="I34" s="22">
        <f>PyG_10!I25</f>
        <v>6077.3040566880481</v>
      </c>
      <c r="J34" s="22">
        <f>PyG_10!J25</f>
        <v>6381.1692595224504</v>
      </c>
      <c r="K34" s="22">
        <f>PyG_10!K25</f>
        <v>6700.2277224985737</v>
      </c>
      <c r="L34" s="22">
        <f>PyG_10!L25</f>
        <v>7035.2391086235029</v>
      </c>
      <c r="M34" s="22">
        <f>PyG_10!M25</f>
        <v>7387.001064054678</v>
      </c>
      <c r="N34" s="22"/>
      <c r="O34" s="22"/>
      <c r="P34" s="23"/>
    </row>
    <row r="35" spans="1:16">
      <c r="A35" s="21"/>
      <c r="B35" s="22"/>
      <c r="C35" s="22" t="s">
        <v>54</v>
      </c>
      <c r="D35" s="22">
        <f>-PyG_10!D25*('Supuestos Iniciales'!$C$39)</f>
        <v>-1428.5180249999999</v>
      </c>
      <c r="E35" s="22">
        <f>-PyG_10!E25*('Supuestos Iniciales'!$C$39)</f>
        <v>-1499.9439262499998</v>
      </c>
      <c r="F35" s="22">
        <f>-PyG_10!F25*('Supuestos Iniciales'!$C$39)</f>
        <v>-1574.9411225624999</v>
      </c>
      <c r="G35" s="22">
        <f>-PyG_10!G25*('Supuestos Iniciales'!$C$39)</f>
        <v>-1653.6881786906249</v>
      </c>
      <c r="H35" s="22">
        <f>-PyG_10!H25*('Supuestos Iniciales'!$C$39)</f>
        <v>-1736.3725876251563</v>
      </c>
      <c r="I35" s="22">
        <f>-PyG_10!I25*('Supuestos Iniciales'!$C$39)</f>
        <v>-1823.1912170064145</v>
      </c>
      <c r="J35" s="22">
        <f>-PyG_10!J25*('Supuestos Iniciales'!$C$39)</f>
        <v>-1914.350777856735</v>
      </c>
      <c r="K35" s="22">
        <f>-PyG_10!K25*('Supuestos Iniciales'!$C$39)</f>
        <v>-2010.068316749572</v>
      </c>
      <c r="L35" s="22">
        <f>-PyG_10!L25*('Supuestos Iniciales'!$C$39)</f>
        <v>-2110.571732587051</v>
      </c>
      <c r="M35" s="22">
        <f>-PyG_10!M25*('Supuestos Iniciales'!$C$39)</f>
        <v>-2216.1003192164035</v>
      </c>
      <c r="N35" s="22"/>
      <c r="O35" s="22"/>
      <c r="P35" s="23"/>
    </row>
    <row r="36" spans="1:16">
      <c r="A36" s="21"/>
      <c r="B36" s="22"/>
      <c r="C36" s="22" t="s">
        <v>28</v>
      </c>
      <c r="D36" s="22">
        <f>PyG_10!D24</f>
        <v>2840.4327000000003</v>
      </c>
      <c r="E36" s="22">
        <f>PyG_10!E24</f>
        <v>2840.4327000000003</v>
      </c>
      <c r="F36" s="22">
        <f>PyG_10!F24</f>
        <v>2840.4327000000003</v>
      </c>
      <c r="G36" s="22">
        <f>PyG_10!G24</f>
        <v>2840.4327000000003</v>
      </c>
      <c r="H36" s="22">
        <f>PyG_10!H24</f>
        <v>2840.4327000000003</v>
      </c>
      <c r="I36" s="22">
        <f>PyG_10!I24</f>
        <v>2840.4327000000003</v>
      </c>
      <c r="J36" s="22">
        <f>PyG_10!J24</f>
        <v>2840.4327000000003</v>
      </c>
      <c r="K36" s="22">
        <f>PyG_10!K24</f>
        <v>2840.4327000000003</v>
      </c>
      <c r="L36" s="22">
        <f>PyG_10!L24</f>
        <v>2840.4327000000003</v>
      </c>
      <c r="M36" s="22">
        <f>PyG_10!M24</f>
        <v>2840.4327000000003</v>
      </c>
      <c r="N36" s="22"/>
      <c r="O36" s="22"/>
      <c r="P36" s="23"/>
    </row>
    <row r="37" spans="1:16">
      <c r="A37" s="21"/>
      <c r="B37" s="22"/>
      <c r="C37" s="22" t="s">
        <v>30</v>
      </c>
      <c r="D37" s="22">
        <f>-(Balance_10!Z6-Balance_10!C6+D36)</f>
        <v>123.36524999999983</v>
      </c>
      <c r="E37" s="22">
        <f>-(Balance_10!AA6-Balance_10!Z6+E36)</f>
        <v>-2461.1367375</v>
      </c>
      <c r="F37" s="22">
        <f>-(Balance_10!AB6-Balance_10!AA6+F36)</f>
        <v>-2584.1935743750028</v>
      </c>
      <c r="G37" s="22">
        <f>-(Balance_10!AC6-Balance_10!AB6+G36)</f>
        <v>-2713.4032530937575</v>
      </c>
      <c r="H37" s="22">
        <f>-(Balance_10!AD6-Balance_10!AC6+H36)</f>
        <v>-2849.0734157484285</v>
      </c>
      <c r="I37" s="22">
        <f>-(Balance_10!AE6-Balance_10!AD6+I36)</f>
        <v>-2991.5270865358643</v>
      </c>
      <c r="J37" s="22">
        <f>-(Balance_10!AF6-Balance_10!AE6+J36)</f>
        <v>-3141.1034408626538</v>
      </c>
      <c r="K37" s="22">
        <f>-(Balance_10!AG6-Balance_10!AF6+K36)</f>
        <v>-3298.1586129057932</v>
      </c>
      <c r="L37" s="22">
        <f>-(Balance_10!AH6-Balance_10!AG6+L36)</f>
        <v>-3463.0665435510773</v>
      </c>
      <c r="M37" s="22">
        <f>-(Balance_10!AI6-Balance_10!AH6+M36)</f>
        <v>-3636.2198707286325</v>
      </c>
      <c r="N37" s="22"/>
      <c r="O37" s="22"/>
      <c r="P37" s="23"/>
    </row>
    <row r="38" spans="1:16">
      <c r="A38" s="21"/>
      <c r="B38" s="22"/>
      <c r="C38" s="22" t="s">
        <v>29</v>
      </c>
      <c r="D38" s="22">
        <f>-((Balance_10!Z12+Balance_10!Z13-Balance_10!Z23)-(Balance_10!C12+Balance_10!C13-Balance_10!C23))</f>
        <v>47.394470000001093</v>
      </c>
      <c r="E38" s="22">
        <f>-((Balance_10!AA12+Balance_10!AA13-Balance_10!AA23)-(Balance_10!Z12+Balance_10!Z13-Balance_10!Z23))</f>
        <v>-668.80788630000097</v>
      </c>
      <c r="F38" s="22">
        <f>-((Balance_10!AB12+Balance_10!AB13-Balance_10!AB23)-(Balance_10!AA12+Balance_10!AA13-Balance_10!AA23))</f>
        <v>-715.96599827700084</v>
      </c>
      <c r="G38" s="22">
        <f>-((Balance_10!AC12+Balance_10!AC13-Balance_10!AC23)-(Balance_10!AB12+Balance_10!AB13-Balance_10!AB23))</f>
        <v>-766.45250288727038</v>
      </c>
      <c r="H38" s="22">
        <f>-((Balance_10!AD12+Balance_10!AD13-Balance_10!AD23)-(Balance_10!AC12+Balance_10!AC13-Balance_10!AC23))</f>
        <v>-820.50257359873285</v>
      </c>
      <c r="I38" s="22">
        <f>-((Balance_10!AE12+Balance_10!AE13-Balance_10!AE23)-(Balance_10!AD12+Balance_10!AD13-Balance_10!AD23))</f>
        <v>-878.36802090073797</v>
      </c>
      <c r="J38" s="22">
        <f>-((Balance_10!AF12+Balance_10!AF13-Balance_10!AF23)-(Balance_10!AE12+Balance_10!AE13-Balance_10!AE23))</f>
        <v>-940.31847088589893</v>
      </c>
      <c r="K38" s="22">
        <f>-((Balance_10!AG12+Balance_10!AG13-Balance_10!AG23)-(Balance_10!AF12+Balance_10!AF13-Balance_10!AF23))</f>
        <v>-1006.6426274517871</v>
      </c>
      <c r="L38" s="22">
        <f>-((Balance_10!AH12+Balance_10!AH13-Balance_10!AH23)-(Balance_10!AG12+Balance_10!AG13-Balance_10!AG23))</f>
        <v>-1077.6496240655961</v>
      </c>
      <c r="M38" s="22">
        <f>-((Balance_10!AI12+Balance_10!AI13-Balance_10!AI23)-(Balance_10!AH12+Balance_10!AH13-Balance_10!AH23))</f>
        <v>-1153.67047145775</v>
      </c>
      <c r="N38" s="22"/>
      <c r="O38" s="22"/>
      <c r="P38" s="23"/>
    </row>
    <row r="39" spans="1:16" ht="15.75" thickBot="1">
      <c r="A39" s="21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3"/>
    </row>
    <row r="40" spans="1:16" ht="15.75" thickBot="1">
      <c r="A40" s="21"/>
      <c r="B40" s="164" t="s">
        <v>49</v>
      </c>
      <c r="C40" s="165"/>
      <c r="D40" s="26">
        <f>NPV(H40,D33:N33)</f>
        <v>47106.35852790402</v>
      </c>
      <c r="E40" s="22"/>
      <c r="F40" s="22"/>
      <c r="G40" s="27" t="s">
        <v>1</v>
      </c>
      <c r="H40" s="77">
        <f>(('Supuestos Iniciales'!C41*Balance_10!C20)+(Balance_10!C21+Balance_10!C22)*'Supuestos Iniciales'!C42)/Balance_10!C18</f>
        <v>8.0592145060467371E-2</v>
      </c>
      <c r="I40" s="22"/>
      <c r="J40" s="22"/>
      <c r="K40" s="22"/>
      <c r="L40" s="22"/>
      <c r="M40" s="22"/>
      <c r="N40" s="22"/>
      <c r="O40" s="22"/>
      <c r="P40" s="23"/>
    </row>
    <row r="41" spans="1:16" ht="15.75" thickBot="1">
      <c r="A41" s="21"/>
      <c r="B41" s="22"/>
      <c r="C41" s="22" t="s">
        <v>31</v>
      </c>
      <c r="D41" s="22">
        <f>D27</f>
        <v>33177.64</v>
      </c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3"/>
    </row>
    <row r="42" spans="1:16" ht="15.75" thickBot="1">
      <c r="A42" s="21"/>
      <c r="B42" s="164" t="s">
        <v>45</v>
      </c>
      <c r="C42" s="165"/>
      <c r="D42" s="26">
        <f>D40-D41</f>
        <v>13928.71852790402</v>
      </c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3"/>
    </row>
    <row r="43" spans="1:16" ht="15.75" thickBot="1">
      <c r="A43" s="28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30"/>
    </row>
  </sheetData>
  <mergeCells count="10">
    <mergeCell ref="B28:C28"/>
    <mergeCell ref="B33:C33"/>
    <mergeCell ref="B40:C40"/>
    <mergeCell ref="B42:C42"/>
    <mergeCell ref="B2:C2"/>
    <mergeCell ref="B5:C5"/>
    <mergeCell ref="B12:C12"/>
    <mergeCell ref="B14:C14"/>
    <mergeCell ref="B19:C19"/>
    <mergeCell ref="B26:C2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41"/>
  <dimension ref="A1:P23"/>
  <sheetViews>
    <sheetView workbookViewId="0">
      <selection activeCell="J22" sqref="J22"/>
    </sheetView>
  </sheetViews>
  <sheetFormatPr baseColWidth="10" defaultRowHeight="15"/>
  <cols>
    <col min="1" max="1" width="4.42578125" customWidth="1"/>
    <col min="2" max="2" width="22.5703125" bestFit="1" customWidth="1"/>
    <col min="3" max="4" width="7.5703125" customWidth="1"/>
    <col min="5" max="5" width="15.140625" customWidth="1"/>
    <col min="6" max="6" width="13.42578125" customWidth="1"/>
  </cols>
  <sheetData>
    <row r="1" spans="1:16" ht="15.75" thickBot="1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7"/>
    </row>
    <row r="2" spans="1:16">
      <c r="A2" s="8"/>
      <c r="B2" s="4" t="s">
        <v>13</v>
      </c>
      <c r="C2" s="175" t="s">
        <v>50</v>
      </c>
      <c r="D2" s="175"/>
      <c r="E2" s="153" t="str">
        <f>'Supuestos Iniciales'!F10</f>
        <v>Miles de Euros</v>
      </c>
      <c r="F2" s="80"/>
      <c r="G2" s="9"/>
      <c r="H2" s="9"/>
      <c r="I2" s="9"/>
      <c r="J2" s="9"/>
      <c r="K2" s="9"/>
      <c r="L2" s="9"/>
      <c r="M2" s="9"/>
      <c r="N2" s="9"/>
      <c r="O2" s="9"/>
      <c r="P2" s="10"/>
    </row>
    <row r="3" spans="1:16">
      <c r="A3" s="8"/>
      <c r="B3" s="2" t="s">
        <v>51</v>
      </c>
      <c r="C3" s="169"/>
      <c r="D3" s="169"/>
      <c r="E3" s="171">
        <f>Balance_10!C20</f>
        <v>35658.11</v>
      </c>
      <c r="F3" s="172"/>
      <c r="G3" s="9"/>
      <c r="H3" s="9"/>
      <c r="I3" s="9"/>
      <c r="J3" s="9"/>
      <c r="K3" s="9"/>
      <c r="L3" s="9"/>
      <c r="M3" s="9"/>
      <c r="N3" s="9"/>
      <c r="O3" s="9"/>
      <c r="P3" s="10"/>
    </row>
    <row r="4" spans="1:16">
      <c r="A4" s="8"/>
      <c r="B4" s="2" t="s">
        <v>52</v>
      </c>
      <c r="C4" s="169"/>
      <c r="D4" s="169"/>
      <c r="E4" s="176">
        <f>Balance_ajustado!C26+Balance_ajustado!C27</f>
        <v>39158.11</v>
      </c>
      <c r="F4" s="177"/>
      <c r="G4" s="9"/>
      <c r="H4" s="9"/>
      <c r="I4" s="9"/>
      <c r="J4" s="9"/>
      <c r="K4" s="9"/>
      <c r="L4" s="9"/>
      <c r="M4" s="9"/>
      <c r="N4" s="9"/>
      <c r="O4" s="9"/>
      <c r="P4" s="10"/>
    </row>
    <row r="5" spans="1:16">
      <c r="A5" s="8"/>
      <c r="B5" s="2" t="s">
        <v>14</v>
      </c>
      <c r="C5" s="1">
        <f>'Supuestos Iniciales'!C45</f>
        <v>2</v>
      </c>
      <c r="D5" s="1">
        <f>'Supuestos Iniciales'!D45</f>
        <v>4</v>
      </c>
      <c r="E5" s="14">
        <f>C5*PyG_10!C5</f>
        <v>28647.01</v>
      </c>
      <c r="F5" s="15">
        <f>D5*PyG_10!C5</f>
        <v>57294.02</v>
      </c>
      <c r="G5" s="9"/>
      <c r="H5" s="9"/>
      <c r="I5" s="9"/>
      <c r="J5" s="9"/>
      <c r="K5" s="9"/>
      <c r="L5" s="9"/>
      <c r="M5" s="9"/>
      <c r="N5" s="9"/>
      <c r="O5" s="9"/>
      <c r="P5" s="10"/>
    </row>
    <row r="6" spans="1:16">
      <c r="A6" s="8"/>
      <c r="B6" s="2" t="s">
        <v>35</v>
      </c>
      <c r="C6" s="1">
        <f>'Supuestos Iniciales'!C46</f>
        <v>6</v>
      </c>
      <c r="D6" s="1">
        <f>'Supuestos Iniciales'!D46</f>
        <v>8</v>
      </c>
      <c r="E6" s="14">
        <f>PyG_10!C7*C6</f>
        <v>9890.8080000000009</v>
      </c>
      <c r="F6" s="15">
        <f>PyG_10!C7*D6</f>
        <v>13187.744000000001</v>
      </c>
      <c r="G6" s="9"/>
      <c r="H6" s="9"/>
      <c r="I6" s="9"/>
      <c r="J6" s="9"/>
      <c r="K6" s="9"/>
      <c r="L6" s="9"/>
      <c r="M6" s="9"/>
      <c r="N6" s="9"/>
      <c r="O6" s="9"/>
      <c r="P6" s="10"/>
    </row>
    <row r="7" spans="1:16">
      <c r="A7" s="8"/>
      <c r="B7" s="2" t="s">
        <v>0</v>
      </c>
      <c r="C7" s="1">
        <f>'Supuestos Iniciales'!C47</f>
        <v>6</v>
      </c>
      <c r="D7" s="1">
        <f>'Supuestos Iniciales'!D47</f>
        <v>8</v>
      </c>
      <c r="E7" s="14">
        <f>C7*PyG_10!C8</f>
        <v>-2650.14</v>
      </c>
      <c r="F7" s="15">
        <f>D7*PyG_10!C8</f>
        <v>-3533.52</v>
      </c>
      <c r="G7" s="9"/>
      <c r="H7" s="9"/>
      <c r="I7" s="9"/>
      <c r="J7" s="9"/>
      <c r="K7" s="9"/>
      <c r="L7" s="9"/>
      <c r="M7" s="9"/>
      <c r="N7" s="9"/>
      <c r="O7" s="9"/>
      <c r="P7" s="10"/>
    </row>
    <row r="8" spans="1:16">
      <c r="A8" s="8"/>
      <c r="B8" s="2" t="s">
        <v>2</v>
      </c>
      <c r="C8" s="169"/>
      <c r="D8" s="169"/>
      <c r="E8" s="171">
        <f>Proyecciones_10!D14</f>
        <v>26969.700649040278</v>
      </c>
      <c r="F8" s="172"/>
      <c r="G8" s="9"/>
      <c r="H8" s="9"/>
      <c r="I8" s="9"/>
      <c r="J8" s="9"/>
      <c r="K8" s="9"/>
      <c r="L8" s="9"/>
      <c r="M8" s="9"/>
      <c r="N8" s="9"/>
      <c r="O8" s="9"/>
      <c r="P8" s="10"/>
    </row>
    <row r="9" spans="1:16">
      <c r="A9" s="8"/>
      <c r="B9" s="2" t="s">
        <v>15</v>
      </c>
      <c r="C9" s="169"/>
      <c r="D9" s="169"/>
      <c r="E9" s="171">
        <f>Proyecciones_10!D28</f>
        <v>40010.682770176631</v>
      </c>
      <c r="F9" s="172"/>
      <c r="G9" s="9"/>
      <c r="H9" s="9"/>
      <c r="I9" s="9"/>
      <c r="J9" s="9"/>
      <c r="K9" s="9"/>
      <c r="L9" s="9"/>
      <c r="M9" s="9"/>
      <c r="N9" s="9"/>
      <c r="O9" s="9"/>
      <c r="P9" s="10"/>
    </row>
    <row r="10" spans="1:16" ht="15.75" thickBot="1">
      <c r="A10" s="8"/>
      <c r="B10" s="3" t="s">
        <v>16</v>
      </c>
      <c r="C10" s="170"/>
      <c r="D10" s="170"/>
      <c r="E10" s="173">
        <f>Proyecciones_10!D42</f>
        <v>13928.71852790402</v>
      </c>
      <c r="F10" s="174"/>
      <c r="G10" s="9"/>
      <c r="H10" s="9"/>
      <c r="I10" s="9"/>
      <c r="J10" s="9"/>
      <c r="K10" s="9"/>
      <c r="L10" s="9"/>
      <c r="M10" s="9"/>
      <c r="N10" s="9"/>
      <c r="O10" s="9"/>
      <c r="P10" s="10"/>
    </row>
    <row r="11" spans="1:16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10"/>
    </row>
    <row r="12" spans="1:16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10"/>
    </row>
    <row r="13" spans="1:16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/>
    </row>
    <row r="14" spans="1:16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10"/>
    </row>
    <row r="15" spans="1:16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/>
    </row>
    <row r="16" spans="1:16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10"/>
    </row>
    <row r="17" spans="1:16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10"/>
    </row>
    <row r="18" spans="1:16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10"/>
    </row>
    <row r="19" spans="1:16">
      <c r="A19" s="8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10"/>
    </row>
    <row r="20" spans="1:16">
      <c r="A20" s="8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10"/>
    </row>
    <row r="21" spans="1:16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10"/>
    </row>
    <row r="22" spans="1:16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10"/>
    </row>
    <row r="23" spans="1:16" ht="15.75" thickBot="1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3"/>
    </row>
  </sheetData>
  <mergeCells count="8">
    <mergeCell ref="C8:D10"/>
    <mergeCell ref="E8:F8"/>
    <mergeCell ref="E9:F9"/>
    <mergeCell ref="E10:F10"/>
    <mergeCell ref="C2:D2"/>
    <mergeCell ref="C3:D4"/>
    <mergeCell ref="E3:F3"/>
    <mergeCell ref="E4:F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Inicio</vt:lpstr>
      <vt:lpstr>Supuestos Iniciales</vt:lpstr>
      <vt:lpstr>Balance_10</vt:lpstr>
      <vt:lpstr>Balance_ajustado</vt:lpstr>
      <vt:lpstr>PyG_10</vt:lpstr>
      <vt:lpstr>Proyecciones_10</vt:lpstr>
      <vt:lpstr>Valoración empresa_10</vt:lpstr>
      <vt:lpstr>anys</vt:lpstr>
      <vt:lpstr>Balance_10!Área_de_impresión</vt:lpstr>
      <vt:lpstr>Balance_ajustado!Área_de_impresión</vt:lpstr>
      <vt:lpstr>Proyecciones_10!Área_de_impresión</vt:lpstr>
      <vt:lpstr>PyG_10!Área_de_impresión</vt:lpstr>
      <vt:lpstr>'Supuestos Iniciales'!Área_de_impresión</vt:lpstr>
      <vt:lpstr>'Valoración empresa_10'!Área_de_impresión</vt:lpstr>
    </vt:vector>
  </TitlesOfParts>
  <Company>Enginyeria i Arquitectura La Salle - URL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Quico</dc:creator>
  <cp:lastModifiedBy>Quico</cp:lastModifiedBy>
  <cp:lastPrinted>2010-06-22T09:33:08Z</cp:lastPrinted>
  <dcterms:created xsi:type="dcterms:W3CDTF">2010-04-28T13:09:13Z</dcterms:created>
  <dcterms:modified xsi:type="dcterms:W3CDTF">2010-11-23T10:09:12Z</dcterms:modified>
</cp:coreProperties>
</file>