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240" yWindow="75" windowWidth="15480" windowHeight="7935"/>
  </bookViews>
  <sheets>
    <sheet name="Inicio" sheetId="50" r:id="rId1"/>
    <sheet name="Supuestos Iniciales_n" sheetId="48" r:id="rId2"/>
    <sheet name="Balance_5n" sheetId="28" r:id="rId3"/>
    <sheet name="Balance_ajustado_n" sheetId="49" r:id="rId4"/>
    <sheet name="PyG_5n" sheetId="34" r:id="rId5"/>
    <sheet name="Proyecciones_5n" sheetId="39" r:id="rId6"/>
    <sheet name="Valoración empresa_5n" sheetId="44" r:id="rId7"/>
  </sheets>
  <definedNames>
    <definedName name="_xlnm._FilterDatabase" localSheetId="2" hidden="1">Balance_5n!$B$6:$H$15</definedName>
    <definedName name="anys">Inicio!$C$4</definedName>
    <definedName name="_xlnm.Print_Area" localSheetId="2">Balance_5n!$A$1:$U$31</definedName>
    <definedName name="_xlnm.Print_Area" localSheetId="3">Balance_ajustado_n!$A$1:$D$17</definedName>
    <definedName name="_xlnm.Print_Area" localSheetId="5">Proyecciones_5n!$A$1:$L$43</definedName>
    <definedName name="_xlnm.Print_Area" localSheetId="4">PyG_5n!$A$1:$J$64</definedName>
    <definedName name="_xlnm.Print_Area" localSheetId="1">'Supuestos Iniciales_n'!$A$1:$I$62</definedName>
    <definedName name="_xlnm.Print_Area" localSheetId="6">'Valoración empresa_5n'!$A$1:$P$23</definedName>
  </definedNames>
  <calcPr calcId="124519"/>
</workbook>
</file>

<file path=xl/calcChain.xml><?xml version="1.0" encoding="utf-8"?>
<calcChain xmlns="http://schemas.openxmlformats.org/spreadsheetml/2006/main">
  <c r="R9" i="28"/>
  <c r="S9"/>
  <c r="T9" s="1"/>
  <c r="Q9"/>
  <c r="P9"/>
  <c r="L9"/>
  <c r="M9"/>
  <c r="N9" s="1"/>
  <c r="K9"/>
  <c r="J9"/>
  <c r="P6"/>
  <c r="J6"/>
  <c r="D6"/>
  <c r="E6"/>
  <c r="F6"/>
  <c r="G6"/>
  <c r="H6"/>
  <c r="C6"/>
  <c r="E9"/>
  <c r="F9"/>
  <c r="G9" s="1"/>
  <c r="H9" s="1"/>
  <c r="D9"/>
  <c r="E2" i="44"/>
  <c r="D15" i="34"/>
  <c r="E15" s="1"/>
  <c r="F15" s="1"/>
  <c r="G15" s="1"/>
  <c r="H15" s="1"/>
  <c r="H53" s="1"/>
  <c r="D14"/>
  <c r="D33" s="1"/>
  <c r="D6"/>
  <c r="E6" s="1"/>
  <c r="E25" s="1"/>
  <c r="D7"/>
  <c r="E7" s="1"/>
  <c r="E45" s="1"/>
  <c r="D8"/>
  <c r="E8" s="1"/>
  <c r="E46" s="1"/>
  <c r="D9"/>
  <c r="D47" s="1"/>
  <c r="E9"/>
  <c r="F9" s="1"/>
  <c r="F47" s="1"/>
  <c r="D10"/>
  <c r="E10" s="1"/>
  <c r="E29" s="1"/>
  <c r="D11"/>
  <c r="D49" s="1"/>
  <c r="D12"/>
  <c r="E12" s="1"/>
  <c r="E31" s="1"/>
  <c r="E5"/>
  <c r="F5" s="1"/>
  <c r="G5" s="1"/>
  <c r="H5" s="1"/>
  <c r="H43" s="1"/>
  <c r="D5"/>
  <c r="D24" s="1"/>
  <c r="C27" i="49"/>
  <c r="C30"/>
  <c r="C14"/>
  <c r="C6"/>
  <c r="C22" i="28"/>
  <c r="C18" s="1"/>
  <c r="C11"/>
  <c r="D13" i="39"/>
  <c r="D27" s="1"/>
  <c r="D41" s="1"/>
  <c r="D24" i="28"/>
  <c r="E24" s="1"/>
  <c r="Q24" s="1"/>
  <c r="D23"/>
  <c r="E23" s="1"/>
  <c r="D21"/>
  <c r="P21" s="1"/>
  <c r="D20"/>
  <c r="P20" s="1"/>
  <c r="D14"/>
  <c r="P14" s="1"/>
  <c r="D13"/>
  <c r="E13" s="1"/>
  <c r="Q13" s="1"/>
  <c r="D12"/>
  <c r="E12" s="1"/>
  <c r="Q12" s="1"/>
  <c r="D10"/>
  <c r="E10" s="1"/>
  <c r="K10" s="1"/>
  <c r="D8"/>
  <c r="E8" s="1"/>
  <c r="F8" s="1"/>
  <c r="D7"/>
  <c r="E7" s="1"/>
  <c r="H24" i="34" l="1"/>
  <c r="F24"/>
  <c r="D31"/>
  <c r="F28"/>
  <c r="D28"/>
  <c r="E27"/>
  <c r="D25"/>
  <c r="D43"/>
  <c r="G43"/>
  <c r="E43"/>
  <c r="E50"/>
  <c r="E48"/>
  <c r="E47"/>
  <c r="D46"/>
  <c r="E44"/>
  <c r="D52"/>
  <c r="E22" i="28"/>
  <c r="G24" i="34"/>
  <c r="E24"/>
  <c r="D29"/>
  <c r="E28"/>
  <c r="D27"/>
  <c r="F43"/>
  <c r="D50"/>
  <c r="D44"/>
  <c r="D13"/>
  <c r="D16" s="1"/>
  <c r="D17" s="1"/>
  <c r="E11"/>
  <c r="D30"/>
  <c r="E26"/>
  <c r="D45"/>
  <c r="D51" s="1"/>
  <c r="D54" s="1"/>
  <c r="D26"/>
  <c r="D48"/>
  <c r="D34"/>
  <c r="G34"/>
  <c r="E34"/>
  <c r="D53"/>
  <c r="G53"/>
  <c r="E53"/>
  <c r="H34"/>
  <c r="F34"/>
  <c r="F53"/>
  <c r="G9"/>
  <c r="F7"/>
  <c r="G7" s="1"/>
  <c r="E14"/>
  <c r="H9"/>
  <c r="F6"/>
  <c r="F12"/>
  <c r="F10"/>
  <c r="F8"/>
  <c r="D18"/>
  <c r="E13"/>
  <c r="E16" s="1"/>
  <c r="E17" s="1"/>
  <c r="J24" i="28"/>
  <c r="F24"/>
  <c r="K24"/>
  <c r="P24"/>
  <c r="C24" i="49"/>
  <c r="D10" i="39"/>
  <c r="E10"/>
  <c r="E4" i="44"/>
  <c r="D22" i="28"/>
  <c r="E20"/>
  <c r="J20"/>
  <c r="J12"/>
  <c r="J14"/>
  <c r="K13"/>
  <c r="P13"/>
  <c r="F13"/>
  <c r="F12"/>
  <c r="J13"/>
  <c r="K12"/>
  <c r="P12"/>
  <c r="J7"/>
  <c r="F7"/>
  <c r="K7"/>
  <c r="P7"/>
  <c r="Q7"/>
  <c r="J23"/>
  <c r="P23"/>
  <c r="D38" i="39" s="1"/>
  <c r="Q23" i="28"/>
  <c r="F23"/>
  <c r="K23"/>
  <c r="D18"/>
  <c r="E21"/>
  <c r="J21"/>
  <c r="E18"/>
  <c r="J10"/>
  <c r="P10"/>
  <c r="Q10"/>
  <c r="F10"/>
  <c r="R8"/>
  <c r="L8"/>
  <c r="G8"/>
  <c r="J8"/>
  <c r="K8"/>
  <c r="P8"/>
  <c r="Q8"/>
  <c r="P22"/>
  <c r="P18" s="1"/>
  <c r="F22"/>
  <c r="G13"/>
  <c r="G7"/>
  <c r="E14"/>
  <c r="F27" i="34" l="1"/>
  <c r="F46"/>
  <c r="F50"/>
  <c r="F31"/>
  <c r="F14"/>
  <c r="E33"/>
  <c r="E52"/>
  <c r="G28"/>
  <c r="G47"/>
  <c r="D32"/>
  <c r="D35" s="1"/>
  <c r="F44"/>
  <c r="F25"/>
  <c r="H47"/>
  <c r="H28"/>
  <c r="D36"/>
  <c r="D37" s="1"/>
  <c r="D55"/>
  <c r="D56" s="1"/>
  <c r="F11"/>
  <c r="F13" s="1"/>
  <c r="F16" s="1"/>
  <c r="E49"/>
  <c r="E51" s="1"/>
  <c r="E54" s="1"/>
  <c r="E30"/>
  <c r="E32" s="1"/>
  <c r="E35" s="1"/>
  <c r="G45"/>
  <c r="G26"/>
  <c r="F26"/>
  <c r="F45"/>
  <c r="F48"/>
  <c r="F29"/>
  <c r="G8"/>
  <c r="G6"/>
  <c r="G10"/>
  <c r="G12"/>
  <c r="H7"/>
  <c r="E18"/>
  <c r="G24" i="28"/>
  <c r="R24"/>
  <c r="L24"/>
  <c r="F10" i="39"/>
  <c r="K22" i="28"/>
  <c r="E24" i="39"/>
  <c r="Q22" i="28"/>
  <c r="E38" i="39"/>
  <c r="J22" i="28"/>
  <c r="D24" i="39"/>
  <c r="J18" i="28"/>
  <c r="Q20"/>
  <c r="F20"/>
  <c r="K20"/>
  <c r="H13"/>
  <c r="S13"/>
  <c r="M13"/>
  <c r="L13"/>
  <c r="R13"/>
  <c r="Q14"/>
  <c r="K14"/>
  <c r="F14"/>
  <c r="R12"/>
  <c r="L12"/>
  <c r="G12"/>
  <c r="S7"/>
  <c r="M7"/>
  <c r="R7"/>
  <c r="L7"/>
  <c r="R23"/>
  <c r="L23"/>
  <c r="G23"/>
  <c r="G10" i="39" s="1"/>
  <c r="F21" i="28"/>
  <c r="Q21"/>
  <c r="K21"/>
  <c r="K18" s="1"/>
  <c r="R10"/>
  <c r="L10"/>
  <c r="G10"/>
  <c r="H8"/>
  <c r="S8"/>
  <c r="M8"/>
  <c r="H7"/>
  <c r="B3" i="39"/>
  <c r="B3" i="34"/>
  <c r="B3" i="49"/>
  <c r="B3" i="28"/>
  <c r="C3" i="49"/>
  <c r="C3" i="34"/>
  <c r="D41" s="1"/>
  <c r="E41" s="1"/>
  <c r="F41" s="1"/>
  <c r="G41" s="1"/>
  <c r="H41" s="1"/>
  <c r="C3" i="28"/>
  <c r="D3" s="1"/>
  <c r="P3" s="1"/>
  <c r="D8" i="39"/>
  <c r="D7" i="44"/>
  <c r="F7" s="1"/>
  <c r="C7"/>
  <c r="E7" s="1"/>
  <c r="D6"/>
  <c r="F6" s="1"/>
  <c r="C6"/>
  <c r="E6" s="1"/>
  <c r="D5"/>
  <c r="F5" s="1"/>
  <c r="C5"/>
  <c r="E5" s="1"/>
  <c r="E3"/>
  <c r="G31" i="34" l="1"/>
  <c r="G50"/>
  <c r="G25"/>
  <c r="G44"/>
  <c r="F17"/>
  <c r="F18" s="1"/>
  <c r="G14"/>
  <c r="F52"/>
  <c r="F33"/>
  <c r="G46"/>
  <c r="G27"/>
  <c r="E36"/>
  <c r="E37" s="1"/>
  <c r="E55"/>
  <c r="E56" s="1"/>
  <c r="F49"/>
  <c r="F30"/>
  <c r="F32" s="1"/>
  <c r="F35" s="1"/>
  <c r="G11"/>
  <c r="G13"/>
  <c r="G16" s="1"/>
  <c r="F51"/>
  <c r="F54" s="1"/>
  <c r="H26"/>
  <c r="H45"/>
  <c r="G29"/>
  <c r="G48"/>
  <c r="H10"/>
  <c r="H6"/>
  <c r="H8"/>
  <c r="H12"/>
  <c r="H24" i="28"/>
  <c r="S24"/>
  <c r="M24"/>
  <c r="R22"/>
  <c r="F38" i="39"/>
  <c r="L22" i="28"/>
  <c r="F24" i="39"/>
  <c r="D36"/>
  <c r="Q18" i="28"/>
  <c r="F18"/>
  <c r="L20"/>
  <c r="R20"/>
  <c r="G20"/>
  <c r="S12"/>
  <c r="M12"/>
  <c r="H12"/>
  <c r="N13"/>
  <c r="T13"/>
  <c r="G14"/>
  <c r="R14"/>
  <c r="L14"/>
  <c r="T7"/>
  <c r="N7"/>
  <c r="G22"/>
  <c r="M23"/>
  <c r="S23"/>
  <c r="H23"/>
  <c r="R21"/>
  <c r="R18" s="1"/>
  <c r="L21"/>
  <c r="G21"/>
  <c r="H10"/>
  <c r="S10"/>
  <c r="M10"/>
  <c r="T8"/>
  <c r="N8"/>
  <c r="C4"/>
  <c r="C4" i="49"/>
  <c r="J3" i="28"/>
  <c r="E3"/>
  <c r="D3" i="34"/>
  <c r="D22"/>
  <c r="E22" s="1"/>
  <c r="F22" s="1"/>
  <c r="G22" s="1"/>
  <c r="H22" s="1"/>
  <c r="E8" i="39"/>
  <c r="P15" i="28"/>
  <c r="P11" s="1"/>
  <c r="H26" i="39"/>
  <c r="H27" i="34" l="1"/>
  <c r="H46"/>
  <c r="G17"/>
  <c r="G18" s="1"/>
  <c r="H14"/>
  <c r="G33"/>
  <c r="G52"/>
  <c r="H50"/>
  <c r="H31"/>
  <c r="H44"/>
  <c r="H25"/>
  <c r="F36"/>
  <c r="F37" s="1"/>
  <c r="F55"/>
  <c r="F56" s="1"/>
  <c r="G49"/>
  <c r="G51" s="1"/>
  <c r="G54" s="1"/>
  <c r="G30"/>
  <c r="G32" s="1"/>
  <c r="G35" s="1"/>
  <c r="H11"/>
  <c r="H48"/>
  <c r="H29"/>
  <c r="H13"/>
  <c r="H16" s="1"/>
  <c r="T24" i="28"/>
  <c r="N24"/>
  <c r="D37" i="39"/>
  <c r="H10"/>
  <c r="M22" i="28"/>
  <c r="G24" i="39"/>
  <c r="S22" i="28"/>
  <c r="G38" i="39"/>
  <c r="D22"/>
  <c r="S20" i="28"/>
  <c r="M20"/>
  <c r="H20"/>
  <c r="T12"/>
  <c r="N12"/>
  <c r="H14"/>
  <c r="S14"/>
  <c r="M14"/>
  <c r="H22"/>
  <c r="T23"/>
  <c r="N23"/>
  <c r="H21"/>
  <c r="S21"/>
  <c r="S18" s="1"/>
  <c r="M21"/>
  <c r="G18"/>
  <c r="T10"/>
  <c r="N10"/>
  <c r="D20" i="39"/>
  <c r="D21"/>
  <c r="D7"/>
  <c r="D6"/>
  <c r="H40"/>
  <c r="Q3" i="28"/>
  <c r="K3"/>
  <c r="F3"/>
  <c r="E3" i="34"/>
  <c r="D3" i="39"/>
  <c r="D17" s="1"/>
  <c r="D31" s="1"/>
  <c r="F8"/>
  <c r="E36"/>
  <c r="E22"/>
  <c r="H12"/>
  <c r="H52" i="34" l="1"/>
  <c r="H33"/>
  <c r="H17"/>
  <c r="H18" s="1"/>
  <c r="G36"/>
  <c r="G37" s="1"/>
  <c r="G55"/>
  <c r="G56" s="1"/>
  <c r="H49"/>
  <c r="H30"/>
  <c r="H32" s="1"/>
  <c r="H35" s="1"/>
  <c r="H36" s="1"/>
  <c r="H51"/>
  <c r="H54" s="1"/>
  <c r="H37"/>
  <c r="T22" i="28"/>
  <c r="H38" i="39"/>
  <c r="N22" i="28"/>
  <c r="H24" i="39"/>
  <c r="J15" i="28"/>
  <c r="J11" s="1"/>
  <c r="D23" i="39"/>
  <c r="D19" s="1"/>
  <c r="D15" i="28"/>
  <c r="D11" s="1"/>
  <c r="D4" s="1"/>
  <c r="D9" i="39"/>
  <c r="D5" s="1"/>
  <c r="Q6" i="28"/>
  <c r="N20"/>
  <c r="T20"/>
  <c r="T14"/>
  <c r="N14"/>
  <c r="T21"/>
  <c r="T18" s="1"/>
  <c r="N21"/>
  <c r="H18"/>
  <c r="E7" i="39"/>
  <c r="E6"/>
  <c r="D35"/>
  <c r="D34"/>
  <c r="P4" i="28"/>
  <c r="K6"/>
  <c r="J4"/>
  <c r="G3"/>
  <c r="L3"/>
  <c r="R3"/>
  <c r="F3" i="34"/>
  <c r="E3" i="39"/>
  <c r="E17" s="1"/>
  <c r="E31" s="1"/>
  <c r="G8"/>
  <c r="F36"/>
  <c r="F22"/>
  <c r="H55" i="34" l="1"/>
  <c r="H56" s="1"/>
  <c r="K15" i="28"/>
  <c r="K11" s="1"/>
  <c r="E23" i="39"/>
  <c r="E15" i="28"/>
  <c r="E11" s="1"/>
  <c r="E4" s="1"/>
  <c r="E9" i="39"/>
  <c r="R6" i="28"/>
  <c r="D33" i="39"/>
  <c r="E20"/>
  <c r="E21"/>
  <c r="F6"/>
  <c r="F7"/>
  <c r="E34"/>
  <c r="E35"/>
  <c r="G3" i="34"/>
  <c r="F3" i="39"/>
  <c r="F17" s="1"/>
  <c r="F31" s="1"/>
  <c r="H3" i="28"/>
  <c r="S3"/>
  <c r="M3"/>
  <c r="H8" i="39"/>
  <c r="G36"/>
  <c r="G22"/>
  <c r="E5"/>
  <c r="L6" i="28" l="1"/>
  <c r="F23" i="39" s="1"/>
  <c r="Q15" i="28"/>
  <c r="Q11" s="1"/>
  <c r="Q4" s="1"/>
  <c r="E37" i="39"/>
  <c r="E33" s="1"/>
  <c r="F15" i="28"/>
  <c r="F11" s="1"/>
  <c r="F9" i="39"/>
  <c r="F5" s="1"/>
  <c r="S6" i="28"/>
  <c r="F37" i="39"/>
  <c r="F4" i="28"/>
  <c r="G7" i="39"/>
  <c r="G6"/>
  <c r="F34"/>
  <c r="F35"/>
  <c r="F20"/>
  <c r="F21"/>
  <c r="K4" i="28"/>
  <c r="N3"/>
  <c r="T3"/>
  <c r="H3" i="34"/>
  <c r="H3" i="39" s="1"/>
  <c r="H17" s="1"/>
  <c r="H31" s="1"/>
  <c r="G3"/>
  <c r="G17" s="1"/>
  <c r="G31" s="1"/>
  <c r="H36"/>
  <c r="H22"/>
  <c r="E19"/>
  <c r="L18" i="28"/>
  <c r="M6" l="1"/>
  <c r="G23" i="39" s="1"/>
  <c r="L15" i="28"/>
  <c r="L11" s="1"/>
  <c r="L4" s="1"/>
  <c r="H15"/>
  <c r="H11" s="1"/>
  <c r="H9" i="39"/>
  <c r="G15" i="28"/>
  <c r="G11" s="1"/>
  <c r="G9" i="39"/>
  <c r="G5" s="1"/>
  <c r="T6" i="28"/>
  <c r="R15"/>
  <c r="R11" s="1"/>
  <c r="R4" s="1"/>
  <c r="F19" i="39"/>
  <c r="F33"/>
  <c r="G4" i="28"/>
  <c r="G34" i="39"/>
  <c r="G35"/>
  <c r="H6"/>
  <c r="H7"/>
  <c r="G20"/>
  <c r="G21"/>
  <c r="N18" i="28"/>
  <c r="M18"/>
  <c r="M15" s="1"/>
  <c r="N6" l="1"/>
  <c r="H23" i="39" s="1"/>
  <c r="S15" i="28"/>
  <c r="S11" s="1"/>
  <c r="S4" s="1"/>
  <c r="G37" i="39"/>
  <c r="G33" s="1"/>
  <c r="T15" i="28"/>
  <c r="T11" s="1"/>
  <c r="T4" s="1"/>
  <c r="H37" i="39"/>
  <c r="M11" i="28"/>
  <c r="M4" s="1"/>
  <c r="G19" i="39"/>
  <c r="H4" i="28"/>
  <c r="H34" i="39"/>
  <c r="H35"/>
  <c r="H20"/>
  <c r="H21"/>
  <c r="H5"/>
  <c r="I5" s="1"/>
  <c r="D12" s="1"/>
  <c r="D14" s="1"/>
  <c r="E8" i="44" s="1"/>
  <c r="N15" i="28" l="1"/>
  <c r="N11" s="1"/>
  <c r="N4" s="1"/>
  <c r="H33" i="39"/>
  <c r="I33" s="1"/>
  <c r="H19"/>
  <c r="I19" s="1"/>
  <c r="D26" s="1"/>
  <c r="D28" s="1"/>
  <c r="E9" i="44" s="1"/>
  <c r="D40" i="39" l="1"/>
  <c r="D42" s="1"/>
  <c r="E10" i="44" s="1"/>
</calcChain>
</file>

<file path=xl/sharedStrings.xml><?xml version="1.0" encoding="utf-8"?>
<sst xmlns="http://schemas.openxmlformats.org/spreadsheetml/2006/main" count="244" uniqueCount="113">
  <si>
    <t>PER</t>
  </si>
  <si>
    <t>WACC</t>
  </si>
  <si>
    <t>FCF</t>
  </si>
  <si>
    <t>VR</t>
  </si>
  <si>
    <t>ACTIVO</t>
  </si>
  <si>
    <t>Amortizaciones</t>
  </si>
  <si>
    <t>Existencias</t>
  </si>
  <si>
    <t>Efectivo y otros medios líquidos</t>
  </si>
  <si>
    <t>PASSIVO + NETO</t>
  </si>
  <si>
    <t>Patrimonio neto</t>
  </si>
  <si>
    <t>Importe neto cifra de negocio</t>
  </si>
  <si>
    <t>Resultado de explotación</t>
  </si>
  <si>
    <t>Beneficio neto</t>
  </si>
  <si>
    <t>Criterio</t>
  </si>
  <si>
    <t>Ventas anuales</t>
  </si>
  <si>
    <t>FCF optimista</t>
  </si>
  <si>
    <t>FCF pesimista</t>
  </si>
  <si>
    <t>Ajustes</t>
  </si>
  <si>
    <t>Inversiones inmobiliarias</t>
  </si>
  <si>
    <t>Deudores comerciales y otras cuentas a cobrar</t>
  </si>
  <si>
    <t>Inversiones financieras a c/p</t>
  </si>
  <si>
    <t>Acreedores comerciales y otras cuentas a pagar</t>
  </si>
  <si>
    <t>Revalorización o pérdida de valor</t>
  </si>
  <si>
    <t>Ajuste valor existencias reales</t>
  </si>
  <si>
    <t>Balances de situación</t>
  </si>
  <si>
    <t>Previsión para los próximos años</t>
  </si>
  <si>
    <t>Supuestos previos a la valoración</t>
  </si>
  <si>
    <t xml:space="preserve"> + Amortizaciones</t>
  </si>
  <si>
    <t xml:space="preserve"> +/- Variación capital de trabajo</t>
  </si>
  <si>
    <t xml:space="preserve"> +/- Inversiones inmovilizado</t>
  </si>
  <si>
    <t xml:space="preserve"> - Valor deuda</t>
  </si>
  <si>
    <t>Múltiplos comparables</t>
  </si>
  <si>
    <t>Resultado explotación</t>
  </si>
  <si>
    <t>Activo no corriente</t>
  </si>
  <si>
    <t>Inmovilizado intangible</t>
  </si>
  <si>
    <t>Inmovilizado material</t>
  </si>
  <si>
    <t>Activo corriente</t>
  </si>
  <si>
    <t>Pasivo no corriente</t>
  </si>
  <si>
    <t>Pasivo corriente</t>
  </si>
  <si>
    <t>Flujos de caja</t>
  </si>
  <si>
    <t>Free cash flow</t>
  </si>
  <si>
    <t>Valor actual FCF</t>
  </si>
  <si>
    <t>Valor empresa</t>
  </si>
  <si>
    <t>Cash flow optimista</t>
  </si>
  <si>
    <t>Valor actual FCF optimista</t>
  </si>
  <si>
    <t>Cash flow pesimista</t>
  </si>
  <si>
    <t>Valor actual FCF pesimista</t>
  </si>
  <si>
    <t>Múltiplos sector</t>
  </si>
  <si>
    <t>Valor contable</t>
  </si>
  <si>
    <t>Valor contable ajustado</t>
  </si>
  <si>
    <t xml:space="preserve"> - Impuestos s/ BAII</t>
  </si>
  <si>
    <t xml:space="preserve"> - Impuestos s/BAII</t>
  </si>
  <si>
    <t>Clientes</t>
  </si>
  <si>
    <t>Dividendos</t>
  </si>
  <si>
    <t>Inmovilizado Material</t>
  </si>
  <si>
    <t>Inmovilizado Intangible</t>
  </si>
  <si>
    <t>Empresa</t>
  </si>
  <si>
    <t>Elaborado por</t>
  </si>
  <si>
    <t>Deterioro de valor de créditos comerciales</t>
  </si>
  <si>
    <t>Variación de existencias</t>
  </si>
  <si>
    <t>Trabajos realizados por la emrpesa para su activo</t>
  </si>
  <si>
    <t>Aprovisionamientos</t>
  </si>
  <si>
    <t>Otros ingresos de explotación</t>
  </si>
  <si>
    <t>Gastos de personal</t>
  </si>
  <si>
    <t>Otros gastos de explotación</t>
  </si>
  <si>
    <t>Ingresos financieros</t>
  </si>
  <si>
    <t>Gastos financieros</t>
  </si>
  <si>
    <t>Resultado antes de impuestos</t>
  </si>
  <si>
    <t>Impuesto sobre beneficios</t>
  </si>
  <si>
    <t>Modificables</t>
  </si>
  <si>
    <t>Fórmula propuesta</t>
  </si>
  <si>
    <t>Variables flujos de caja</t>
  </si>
  <si>
    <t>Último ejercicio cerrado</t>
  </si>
  <si>
    <t>Inmovilizado material en curso</t>
  </si>
  <si>
    <t>Amortización Acumulada</t>
  </si>
  <si>
    <t>Sintetizado</t>
  </si>
  <si>
    <t>Euros</t>
  </si>
  <si>
    <t>Miles de Euros</t>
  </si>
  <si>
    <t>Trabajos realizados por la empresa para su activo</t>
  </si>
  <si>
    <t>Normal</t>
  </si>
  <si>
    <t>Millones de Euros</t>
  </si>
  <si>
    <t>Años proyectados</t>
  </si>
  <si>
    <t>Formato cuentas anuales</t>
  </si>
  <si>
    <t>PASIVO + NETO</t>
  </si>
  <si>
    <t>Otros pasivos corrientes</t>
  </si>
  <si>
    <t>Otros activos corrientes</t>
  </si>
  <si>
    <t>Otros activos no corrientes</t>
  </si>
  <si>
    <t>Fecha elaboración de la valoración</t>
  </si>
  <si>
    <t>Unidades en que se presenta el estudio</t>
  </si>
  <si>
    <t>Leyenda: 
Las celdas con los números en azul son las modificables por el usuario.
Las celdas con los números en negro, tienen una fórmula propuesta.</t>
  </si>
  <si>
    <t xml:space="preserve">Variación anual prevista para las cuentas de P y G </t>
  </si>
  <si>
    <t>Variación anual prevista para las cuentas de activo</t>
  </si>
  <si>
    <t>Variación anual prevista para las cuentas de patrimonio neto y pasivo</t>
  </si>
  <si>
    <t>Desviación de las previsiones en un escenario optimista para las cuentas de P Y G</t>
  </si>
  <si>
    <t>Desviación de las previsiones en un escenario pesimista para las cuentas de P Y G</t>
  </si>
  <si>
    <t>Desviación de las previsiones en un escenario optimista para las cuentas de balance</t>
  </si>
  <si>
    <t>Impuesto de sociedades</t>
  </si>
  <si>
    <t>Tasa crecimiento perpetuo a partir del último año proyectado</t>
  </si>
  <si>
    <t>Rentabilidad deseada por el accionista</t>
  </si>
  <si>
    <t>Coste deuda financiera</t>
  </si>
  <si>
    <t>Valor empresa / Ventas</t>
  </si>
  <si>
    <t>Valor empresa / Resultado explotación</t>
  </si>
  <si>
    <t>PER (Valor empresa / Beneficio)</t>
  </si>
  <si>
    <t>Previsión escenario optimista</t>
  </si>
  <si>
    <t>Previsión escenario pesimista</t>
  </si>
  <si>
    <t>Cuenta de pérdidas y ganancias</t>
  </si>
  <si>
    <t>Cuenta de pérdidas y ganancias, escenario optimista</t>
  </si>
  <si>
    <t>Cuenta de pérdidas y ganancias, escenario pesimista</t>
  </si>
  <si>
    <t>IBEX</t>
  </si>
  <si>
    <t>Quico Marin</t>
  </si>
  <si>
    <t>2009</t>
  </si>
  <si>
    <t>Ajuste de valor real</t>
  </si>
  <si>
    <t>Desviación de las previsiones en un escenario pesimista para las cuentas de balance</t>
  </si>
</sst>
</file>

<file path=xl/styles.xml><?xml version="1.0" encoding="utf-8"?>
<styleSheet xmlns="http://schemas.openxmlformats.org/spreadsheetml/2006/main">
  <numFmts count="1">
    <numFmt numFmtId="43" formatCode="_-* #,##0.00\ _€_-;\-* #,##0.00\ _€_-;_-* &quot;-&quot;??\ _€_-;_-@_-"/>
  </numFmts>
  <fonts count="2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11"/>
      <color theme="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indexed="8"/>
      <name val="Arial"/>
      <family val="2"/>
    </font>
    <font>
      <b/>
      <sz val="11"/>
      <color theme="4"/>
      <name val="Calibri"/>
      <family val="2"/>
      <scheme val="minor"/>
    </font>
    <font>
      <sz val="11"/>
      <color theme="4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i/>
      <sz val="9"/>
      <name val="Calibri"/>
      <family val="2"/>
      <scheme val="minor"/>
    </font>
    <font>
      <b/>
      <sz val="9"/>
      <color rgb="FF0070C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indexed="8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31F117"/>
        <bgColor indexed="64"/>
      </patternFill>
    </fill>
    <fill>
      <patternFill patternType="solid">
        <fgColor rgb="FFFFFF66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99">
    <xf numFmtId="0" fontId="0" fillId="0" borderId="0" xfId="0"/>
    <xf numFmtId="0" fontId="0" fillId="7" borderId="13" xfId="0" applyFill="1" applyBorder="1"/>
    <xf numFmtId="0" fontId="0" fillId="7" borderId="14" xfId="0" applyFill="1" applyBorder="1"/>
    <xf numFmtId="0" fontId="0" fillId="7" borderId="15" xfId="0" applyFill="1" applyBorder="1"/>
    <xf numFmtId="0" fontId="0" fillId="7" borderId="0" xfId="0" applyFill="1" applyBorder="1"/>
    <xf numFmtId="0" fontId="0" fillId="7" borderId="16" xfId="0" applyFill="1" applyBorder="1"/>
    <xf numFmtId="0" fontId="0" fillId="7" borderId="17" xfId="0" applyFill="1" applyBorder="1"/>
    <xf numFmtId="0" fontId="0" fillId="7" borderId="18" xfId="0" applyFill="1" applyBorder="1"/>
    <xf numFmtId="0" fontId="0" fillId="7" borderId="19" xfId="0" applyFill="1" applyBorder="1"/>
    <xf numFmtId="0" fontId="8" fillId="4" borderId="1" xfId="0" applyFont="1" applyFill="1" applyBorder="1" applyAlignment="1">
      <alignment vertical="center"/>
    </xf>
    <xf numFmtId="4" fontId="0" fillId="7" borderId="12" xfId="0" applyNumberFormat="1" applyFill="1" applyBorder="1"/>
    <xf numFmtId="4" fontId="0" fillId="7" borderId="13" xfId="0" applyNumberFormat="1" applyFill="1" applyBorder="1"/>
    <xf numFmtId="4" fontId="0" fillId="7" borderId="14" xfId="0" applyNumberFormat="1" applyFill="1" applyBorder="1"/>
    <xf numFmtId="4" fontId="0" fillId="0" borderId="0" xfId="0" applyNumberFormat="1"/>
    <xf numFmtId="4" fontId="0" fillId="7" borderId="15" xfId="0" applyNumberFormat="1" applyFill="1" applyBorder="1"/>
    <xf numFmtId="4" fontId="0" fillId="7" borderId="0" xfId="0" applyNumberFormat="1" applyFill="1" applyBorder="1"/>
    <xf numFmtId="4" fontId="0" fillId="7" borderId="16" xfId="0" applyNumberFormat="1" applyFill="1" applyBorder="1"/>
    <xf numFmtId="4" fontId="1" fillId="8" borderId="1" xfId="1" applyNumberFormat="1" applyFont="1" applyFill="1" applyBorder="1"/>
    <xf numFmtId="4" fontId="1" fillId="2" borderId="1" xfId="0" applyNumberFormat="1" applyFont="1" applyFill="1" applyBorder="1"/>
    <xf numFmtId="4" fontId="0" fillId="7" borderId="17" xfId="0" applyNumberFormat="1" applyFill="1" applyBorder="1"/>
    <xf numFmtId="4" fontId="0" fillId="7" borderId="18" xfId="0" applyNumberFormat="1" applyFill="1" applyBorder="1"/>
    <xf numFmtId="4" fontId="0" fillId="7" borderId="19" xfId="0" applyNumberFormat="1" applyFill="1" applyBorder="1"/>
    <xf numFmtId="4" fontId="5" fillId="4" borderId="1" xfId="0" applyNumberFormat="1" applyFont="1" applyFill="1" applyBorder="1"/>
    <xf numFmtId="4" fontId="6" fillId="0" borderId="4" xfId="0" applyNumberFormat="1" applyFont="1" applyBorder="1"/>
    <xf numFmtId="4" fontId="0" fillId="0" borderId="4" xfId="0" applyNumberFormat="1" applyFont="1" applyBorder="1"/>
    <xf numFmtId="4" fontId="0" fillId="0" borderId="5" xfId="0" applyNumberFormat="1" applyFont="1" applyBorder="1"/>
    <xf numFmtId="4" fontId="6" fillId="0" borderId="2" xfId="0" applyNumberFormat="1" applyFont="1" applyBorder="1"/>
    <xf numFmtId="4" fontId="0" fillId="0" borderId="2" xfId="0" applyNumberFormat="1" applyFont="1" applyBorder="1"/>
    <xf numFmtId="4" fontId="0" fillId="0" borderId="7" xfId="0" applyNumberFormat="1" applyFont="1" applyBorder="1"/>
    <xf numFmtId="4" fontId="1" fillId="2" borderId="6" xfId="0" applyNumberFormat="1" applyFont="1" applyFill="1" applyBorder="1"/>
    <xf numFmtId="4" fontId="7" fillId="2" borderId="2" xfId="0" applyNumberFormat="1" applyFont="1" applyFill="1" applyBorder="1"/>
    <xf numFmtId="4" fontId="1" fillId="2" borderId="8" xfId="0" applyNumberFormat="1" applyFont="1" applyFill="1" applyBorder="1"/>
    <xf numFmtId="4" fontId="7" fillId="2" borderId="9" xfId="0" applyNumberFormat="1" applyFont="1" applyFill="1" applyBorder="1"/>
    <xf numFmtId="4" fontId="1" fillId="2" borderId="9" xfId="0" applyNumberFormat="1" applyFont="1" applyFill="1" applyBorder="1"/>
    <xf numFmtId="4" fontId="1" fillId="2" borderId="10" xfId="0" applyNumberFormat="1" applyFont="1" applyFill="1" applyBorder="1"/>
    <xf numFmtId="4" fontId="1" fillId="3" borderId="3" xfId="0" applyNumberFormat="1" applyFont="1" applyFill="1" applyBorder="1"/>
    <xf numFmtId="4" fontId="1" fillId="3" borderId="5" xfId="0" applyNumberFormat="1" applyFont="1" applyFill="1" applyBorder="1"/>
    <xf numFmtId="4" fontId="3" fillId="0" borderId="6" xfId="0" applyNumberFormat="1" applyFont="1" applyBorder="1"/>
    <xf numFmtId="4" fontId="1" fillId="0" borderId="7" xfId="0" applyNumberFormat="1" applyFont="1" applyBorder="1"/>
    <xf numFmtId="4" fontId="1" fillId="3" borderId="6" xfId="0" applyNumberFormat="1" applyFont="1" applyFill="1" applyBorder="1"/>
    <xf numFmtId="4" fontId="1" fillId="3" borderId="7" xfId="0" applyNumberFormat="1" applyFont="1" applyFill="1" applyBorder="1"/>
    <xf numFmtId="4" fontId="1" fillId="0" borderId="8" xfId="0" applyNumberFormat="1" applyFont="1" applyBorder="1"/>
    <xf numFmtId="4" fontId="1" fillId="0" borderId="10" xfId="0" applyNumberFormat="1" applyFont="1" applyBorder="1"/>
    <xf numFmtId="4" fontId="1" fillId="3" borderId="4" xfId="0" applyNumberFormat="1" applyFont="1" applyFill="1" applyBorder="1"/>
    <xf numFmtId="4" fontId="1" fillId="0" borderId="2" xfId="0" applyNumberFormat="1" applyFont="1" applyBorder="1"/>
    <xf numFmtId="4" fontId="1" fillId="3" borderId="2" xfId="0" applyNumberFormat="1" applyFont="1" applyFill="1" applyBorder="1"/>
    <xf numFmtId="4" fontId="3" fillId="0" borderId="8" xfId="0" applyNumberFormat="1" applyFont="1" applyBorder="1"/>
    <xf numFmtId="4" fontId="1" fillId="0" borderId="9" xfId="0" applyNumberFormat="1" applyFont="1" applyBorder="1"/>
    <xf numFmtId="4" fontId="1" fillId="2" borderId="21" xfId="0" applyNumberFormat="1" applyFont="1" applyFill="1" applyBorder="1"/>
    <xf numFmtId="4" fontId="7" fillId="0" borderId="2" xfId="0" applyNumberFormat="1" applyFont="1" applyBorder="1"/>
    <xf numFmtId="4" fontId="1" fillId="0" borderId="6" xfId="0" applyNumberFormat="1" applyFont="1" applyBorder="1"/>
    <xf numFmtId="4" fontId="7" fillId="0" borderId="11" xfId="0" applyNumberFormat="1" applyFont="1" applyBorder="1"/>
    <xf numFmtId="4" fontId="7" fillId="0" borderId="9" xfId="0" applyNumberFormat="1" applyFont="1" applyBorder="1"/>
    <xf numFmtId="4" fontId="3" fillId="0" borderId="6" xfId="0" applyNumberFormat="1" applyFont="1" applyBorder="1" applyAlignment="1">
      <alignment horizontal="left"/>
    </xf>
    <xf numFmtId="4" fontId="6" fillId="0" borderId="20" xfId="0" applyNumberFormat="1" applyFont="1" applyBorder="1"/>
    <xf numFmtId="4" fontId="9" fillId="0" borderId="20" xfId="0" applyNumberFormat="1" applyFont="1" applyBorder="1"/>
    <xf numFmtId="4" fontId="10" fillId="2" borderId="2" xfId="0" applyNumberFormat="1" applyFont="1" applyFill="1" applyBorder="1"/>
    <xf numFmtId="4" fontId="10" fillId="2" borderId="7" xfId="0" applyNumberFormat="1" applyFont="1" applyFill="1" applyBorder="1"/>
    <xf numFmtId="4" fontId="9" fillId="0" borderId="34" xfId="0" applyNumberFormat="1" applyFont="1" applyBorder="1"/>
    <xf numFmtId="4" fontId="1" fillId="2" borderId="36" xfId="0" applyNumberFormat="1" applyFont="1" applyFill="1" applyBorder="1"/>
    <xf numFmtId="4" fontId="1" fillId="2" borderId="37" xfId="0" applyNumberFormat="1" applyFont="1" applyFill="1" applyBorder="1"/>
    <xf numFmtId="4" fontId="9" fillId="0" borderId="33" xfId="0" applyNumberFormat="1" applyFont="1" applyBorder="1"/>
    <xf numFmtId="4" fontId="10" fillId="2" borderId="6" xfId="0" applyNumberFormat="1" applyFont="1" applyFill="1" applyBorder="1"/>
    <xf numFmtId="4" fontId="1" fillId="5" borderId="1" xfId="0" applyNumberFormat="1" applyFont="1" applyFill="1" applyBorder="1" applyAlignment="1">
      <alignment horizontal="center"/>
    </xf>
    <xf numFmtId="1" fontId="1" fillId="5" borderId="1" xfId="0" applyNumberFormat="1" applyFont="1" applyFill="1" applyBorder="1" applyAlignment="1">
      <alignment horizontal="center"/>
    </xf>
    <xf numFmtId="4" fontId="4" fillId="5" borderId="35" xfId="0" applyNumberFormat="1" applyFont="1" applyFill="1" applyBorder="1" applyAlignment="1">
      <alignment horizontal="center" vertical="center" wrapText="1"/>
    </xf>
    <xf numFmtId="4" fontId="11" fillId="6" borderId="6" xfId="0" applyNumberFormat="1" applyFont="1" applyFill="1" applyBorder="1"/>
    <xf numFmtId="4" fontId="9" fillId="6" borderId="6" xfId="0" applyNumberFormat="1" applyFont="1" applyFill="1" applyBorder="1" applyAlignment="1">
      <alignment horizontal="right"/>
    </xf>
    <xf numFmtId="4" fontId="0" fillId="6" borderId="6" xfId="0" applyNumberFormat="1" applyFill="1" applyBorder="1" applyAlignment="1">
      <alignment horizontal="right"/>
    </xf>
    <xf numFmtId="4" fontId="0" fillId="6" borderId="6" xfId="0" applyNumberFormat="1" applyFill="1" applyBorder="1" applyAlignment="1">
      <alignment horizontal="right" wrapText="1"/>
    </xf>
    <xf numFmtId="0" fontId="12" fillId="7" borderId="12" xfId="0" applyFont="1" applyFill="1" applyBorder="1"/>
    <xf numFmtId="0" fontId="12" fillId="7" borderId="13" xfId="0" applyFont="1" applyFill="1" applyBorder="1"/>
    <xf numFmtId="0" fontId="12" fillId="7" borderId="14" xfId="0" applyFont="1" applyFill="1" applyBorder="1"/>
    <xf numFmtId="0" fontId="12" fillId="0" borderId="0" xfId="0" applyFont="1"/>
    <xf numFmtId="0" fontId="12" fillId="7" borderId="15" xfId="0" applyFont="1" applyFill="1" applyBorder="1"/>
    <xf numFmtId="0" fontId="13" fillId="2" borderId="3" xfId="0" applyFont="1" applyFill="1" applyBorder="1" applyAlignment="1">
      <alignment horizontal="center"/>
    </xf>
    <xf numFmtId="0" fontId="12" fillId="7" borderId="0" xfId="0" applyFont="1" applyFill="1" applyBorder="1"/>
    <xf numFmtId="0" fontId="12" fillId="7" borderId="16" xfId="0" applyFont="1" applyFill="1" applyBorder="1"/>
    <xf numFmtId="0" fontId="12" fillId="0" borderId="6" xfId="0" applyFont="1" applyBorder="1"/>
    <xf numFmtId="0" fontId="12" fillId="0" borderId="2" xfId="0" applyFont="1" applyBorder="1"/>
    <xf numFmtId="43" fontId="12" fillId="0" borderId="2" xfId="0" applyNumberFormat="1" applyFont="1" applyBorder="1"/>
    <xf numFmtId="43" fontId="12" fillId="0" borderId="7" xfId="0" applyNumberFormat="1" applyFont="1" applyBorder="1"/>
    <xf numFmtId="0" fontId="12" fillId="0" borderId="8" xfId="0" applyFont="1" applyBorder="1"/>
    <xf numFmtId="0" fontId="12" fillId="7" borderId="17" xfId="0" applyFont="1" applyFill="1" applyBorder="1"/>
    <xf numFmtId="0" fontId="12" fillId="7" borderId="18" xfId="0" applyFont="1" applyFill="1" applyBorder="1"/>
    <xf numFmtId="0" fontId="12" fillId="7" borderId="19" xfId="0" applyFont="1" applyFill="1" applyBorder="1"/>
    <xf numFmtId="4" fontId="3" fillId="0" borderId="6" xfId="0" applyNumberFormat="1" applyFont="1" applyBorder="1" applyAlignment="1">
      <alignment horizontal="right"/>
    </xf>
    <xf numFmtId="4" fontId="0" fillId="7" borderId="0" xfId="0" applyNumberFormat="1" applyFill="1" applyBorder="1" applyAlignment="1">
      <alignment horizontal="right"/>
    </xf>
    <xf numFmtId="49" fontId="13" fillId="2" borderId="29" xfId="0" applyNumberFormat="1" applyFont="1" applyFill="1" applyBorder="1" applyAlignment="1">
      <alignment horizontal="center"/>
    </xf>
    <xf numFmtId="4" fontId="0" fillId="7" borderId="12" xfId="0" applyNumberFormat="1" applyFont="1" applyFill="1" applyBorder="1"/>
    <xf numFmtId="4" fontId="0" fillId="7" borderId="13" xfId="0" applyNumberFormat="1" applyFont="1" applyFill="1" applyBorder="1"/>
    <xf numFmtId="4" fontId="0" fillId="7" borderId="14" xfId="0" applyNumberFormat="1" applyFont="1" applyFill="1" applyBorder="1"/>
    <xf numFmtId="4" fontId="0" fillId="0" borderId="0" xfId="0" applyNumberFormat="1" applyFont="1"/>
    <xf numFmtId="4" fontId="0" fillId="7" borderId="15" xfId="0" applyNumberFormat="1" applyFont="1" applyFill="1" applyBorder="1"/>
    <xf numFmtId="4" fontId="0" fillId="7" borderId="0" xfId="0" applyNumberFormat="1" applyFont="1" applyFill="1" applyBorder="1"/>
    <xf numFmtId="4" fontId="0" fillId="7" borderId="16" xfId="0" applyNumberFormat="1" applyFont="1" applyFill="1" applyBorder="1"/>
    <xf numFmtId="4" fontId="0" fillId="7" borderId="0" xfId="0" applyNumberFormat="1" applyFont="1" applyFill="1" applyBorder="1" applyAlignment="1">
      <alignment horizontal="right"/>
    </xf>
    <xf numFmtId="1" fontId="14" fillId="5" borderId="1" xfId="0" applyNumberFormat="1" applyFont="1" applyFill="1" applyBorder="1" applyAlignment="1">
      <alignment horizontal="center" vertical="center" wrapText="1"/>
    </xf>
    <xf numFmtId="4" fontId="0" fillId="0" borderId="3" xfId="0" applyNumberFormat="1" applyFont="1" applyBorder="1"/>
    <xf numFmtId="4" fontId="0" fillId="0" borderId="33" xfId="0" applyNumberFormat="1" applyFont="1" applyBorder="1"/>
    <xf numFmtId="4" fontId="0" fillId="0" borderId="6" xfId="0" applyNumberFormat="1" applyFont="1" applyBorder="1"/>
    <xf numFmtId="4" fontId="0" fillId="0" borderId="35" xfId="0" applyNumberFormat="1" applyFont="1" applyBorder="1"/>
    <xf numFmtId="4" fontId="0" fillId="0" borderId="40" xfId="0" applyNumberFormat="1" applyFont="1" applyBorder="1"/>
    <xf numFmtId="4" fontId="0" fillId="0" borderId="36" xfId="0" applyNumberFormat="1" applyFont="1" applyBorder="1"/>
    <xf numFmtId="4" fontId="0" fillId="7" borderId="17" xfId="0" applyNumberFormat="1" applyFont="1" applyFill="1" applyBorder="1"/>
    <xf numFmtId="4" fontId="0" fillId="7" borderId="18" xfId="0" applyNumberFormat="1" applyFont="1" applyFill="1" applyBorder="1"/>
    <xf numFmtId="4" fontId="0" fillId="7" borderId="19" xfId="0" applyNumberFormat="1" applyFont="1" applyFill="1" applyBorder="1"/>
    <xf numFmtId="1" fontId="14" fillId="5" borderId="1" xfId="0" applyNumberFormat="1" applyFont="1" applyFill="1" applyBorder="1" applyAlignment="1">
      <alignment horizontal="center" vertical="center"/>
    </xf>
    <xf numFmtId="4" fontId="16" fillId="6" borderId="27" xfId="0" applyNumberFormat="1" applyFont="1" applyFill="1" applyBorder="1"/>
    <xf numFmtId="4" fontId="1" fillId="6" borderId="7" xfId="0" applyNumberFormat="1" applyFont="1" applyFill="1" applyBorder="1"/>
    <xf numFmtId="4" fontId="6" fillId="6" borderId="7" xfId="0" applyNumberFormat="1" applyFont="1" applyFill="1" applyBorder="1"/>
    <xf numFmtId="4" fontId="7" fillId="0" borderId="7" xfId="0" applyNumberFormat="1" applyFont="1" applyFill="1" applyBorder="1"/>
    <xf numFmtId="4" fontId="7" fillId="0" borderId="7" xfId="0" applyNumberFormat="1" applyFont="1" applyBorder="1"/>
    <xf numFmtId="4" fontId="6" fillId="6" borderId="27" xfId="0" applyNumberFormat="1" applyFont="1" applyFill="1" applyBorder="1"/>
    <xf numFmtId="4" fontId="7" fillId="0" borderId="27" xfId="0" applyNumberFormat="1" applyFont="1" applyBorder="1"/>
    <xf numFmtId="4" fontId="7" fillId="0" borderId="10" xfId="0" applyNumberFormat="1" applyFont="1" applyBorder="1"/>
    <xf numFmtId="1" fontId="14" fillId="5" borderId="3" xfId="0" applyNumberFormat="1" applyFont="1" applyFill="1" applyBorder="1" applyAlignment="1">
      <alignment horizontal="center" vertical="center" wrapText="1"/>
    </xf>
    <xf numFmtId="0" fontId="18" fillId="8" borderId="23" xfId="0" applyFont="1" applyFill="1" applyBorder="1" applyAlignment="1">
      <alignment horizontal="center"/>
    </xf>
    <xf numFmtId="0" fontId="1" fillId="9" borderId="1" xfId="0" applyFont="1" applyFill="1" applyBorder="1"/>
    <xf numFmtId="0" fontId="0" fillId="0" borderId="13" xfId="0" applyBorder="1"/>
    <xf numFmtId="0" fontId="0" fillId="0" borderId="0" xfId="0" applyBorder="1"/>
    <xf numFmtId="0" fontId="0" fillId="10" borderId="12" xfId="0" applyFill="1" applyBorder="1"/>
    <xf numFmtId="0" fontId="0" fillId="10" borderId="13" xfId="0" applyFill="1" applyBorder="1"/>
    <xf numFmtId="0" fontId="0" fillId="10" borderId="14" xfId="0" applyFill="1" applyBorder="1"/>
    <xf numFmtId="0" fontId="0" fillId="10" borderId="15" xfId="0" applyFill="1" applyBorder="1"/>
    <xf numFmtId="0" fontId="0" fillId="10" borderId="0" xfId="0" applyFill="1" applyBorder="1"/>
    <xf numFmtId="0" fontId="0" fillId="10" borderId="16" xfId="0" applyFill="1" applyBorder="1"/>
    <xf numFmtId="0" fontId="0" fillId="10" borderId="17" xfId="0" applyFill="1" applyBorder="1"/>
    <xf numFmtId="0" fontId="0" fillId="10" borderId="18" xfId="0" applyFill="1" applyBorder="1"/>
    <xf numFmtId="0" fontId="0" fillId="10" borderId="19" xfId="0" applyFill="1" applyBorder="1"/>
    <xf numFmtId="4" fontId="7" fillId="3" borderId="4" xfId="0" applyNumberFormat="1" applyFont="1" applyFill="1" applyBorder="1"/>
    <xf numFmtId="4" fontId="7" fillId="3" borderId="2" xfId="0" applyNumberFormat="1" applyFont="1" applyFill="1" applyBorder="1"/>
    <xf numFmtId="4" fontId="7" fillId="3" borderId="5" xfId="0" applyNumberFormat="1" applyFont="1" applyFill="1" applyBorder="1"/>
    <xf numFmtId="4" fontId="7" fillId="3" borderId="7" xfId="0" applyNumberFormat="1" applyFont="1" applyFill="1" applyBorder="1"/>
    <xf numFmtId="4" fontId="0" fillId="0" borderId="25" xfId="0" applyNumberFormat="1" applyFont="1" applyBorder="1"/>
    <xf numFmtId="4" fontId="0" fillId="0" borderId="26" xfId="0" applyNumberFormat="1" applyFont="1" applyBorder="1"/>
    <xf numFmtId="10" fontId="0" fillId="8" borderId="1" xfId="2" applyNumberFormat="1" applyFont="1" applyFill="1" applyBorder="1"/>
    <xf numFmtId="0" fontId="19" fillId="7" borderId="12" xfId="0" applyFont="1" applyFill="1" applyBorder="1"/>
    <xf numFmtId="0" fontId="19" fillId="7" borderId="13" xfId="0" applyFont="1" applyFill="1" applyBorder="1"/>
    <xf numFmtId="0" fontId="19" fillId="7" borderId="14" xfId="0" applyFont="1" applyFill="1" applyBorder="1"/>
    <xf numFmtId="0" fontId="19" fillId="0" borderId="0" xfId="0" applyFont="1"/>
    <xf numFmtId="0" fontId="19" fillId="7" borderId="15" xfId="0" applyFont="1" applyFill="1" applyBorder="1"/>
    <xf numFmtId="0" fontId="20" fillId="4" borderId="1" xfId="0" applyFont="1" applyFill="1" applyBorder="1" applyAlignment="1">
      <alignment vertical="center"/>
    </xf>
    <xf numFmtId="0" fontId="19" fillId="7" borderId="0" xfId="0" applyFont="1" applyFill="1" applyBorder="1"/>
    <xf numFmtId="0" fontId="22" fillId="8" borderId="35" xfId="0" applyFont="1" applyFill="1" applyBorder="1"/>
    <xf numFmtId="0" fontId="19" fillId="7" borderId="16" xfId="0" applyFont="1" applyFill="1" applyBorder="1"/>
    <xf numFmtId="0" fontId="23" fillId="8" borderId="37" xfId="0" applyFont="1" applyFill="1" applyBorder="1"/>
    <xf numFmtId="0" fontId="23" fillId="2" borderId="6" xfId="0" applyFont="1" applyFill="1" applyBorder="1" applyAlignment="1">
      <alignment horizontal="left"/>
    </xf>
    <xf numFmtId="0" fontId="23" fillId="2" borderId="3" xfId="0" applyFont="1" applyFill="1" applyBorder="1" applyAlignment="1">
      <alignment horizontal="left"/>
    </xf>
    <xf numFmtId="49" fontId="22" fillId="8" borderId="5" xfId="2" applyNumberFormat="1" applyFont="1" applyFill="1" applyBorder="1" applyAlignment="1">
      <alignment horizontal="right"/>
    </xf>
    <xf numFmtId="49" fontId="22" fillId="8" borderId="7" xfId="2" applyNumberFormat="1" applyFont="1" applyFill="1" applyBorder="1" applyAlignment="1">
      <alignment horizontal="right"/>
    </xf>
    <xf numFmtId="14" fontId="22" fillId="8" borderId="7" xfId="2" applyNumberFormat="1" applyFont="1" applyFill="1" applyBorder="1" applyAlignment="1">
      <alignment horizontal="right"/>
    </xf>
    <xf numFmtId="0" fontId="23" fillId="2" borderId="8" xfId="0" applyFont="1" applyFill="1" applyBorder="1" applyAlignment="1">
      <alignment horizontal="left"/>
    </xf>
    <xf numFmtId="49" fontId="22" fillId="8" borderId="10" xfId="2" applyNumberFormat="1" applyFont="1" applyFill="1" applyBorder="1" applyAlignment="1">
      <alignment horizontal="right"/>
    </xf>
    <xf numFmtId="0" fontId="19" fillId="0" borderId="2" xfId="0" applyFont="1" applyBorder="1"/>
    <xf numFmtId="4" fontId="19" fillId="0" borderId="2" xfId="0" applyNumberFormat="1" applyFont="1" applyBorder="1"/>
    <xf numFmtId="0" fontId="23" fillId="2" borderId="3" xfId="0" applyFont="1" applyFill="1" applyBorder="1"/>
    <xf numFmtId="0" fontId="23" fillId="2" borderId="31" xfId="0" applyFont="1" applyFill="1" applyBorder="1"/>
    <xf numFmtId="0" fontId="23" fillId="2" borderId="32" xfId="0" applyFont="1" applyFill="1" applyBorder="1"/>
    <xf numFmtId="0" fontId="23" fillId="2" borderId="6" xfId="0" applyFont="1" applyFill="1" applyBorder="1"/>
    <xf numFmtId="0" fontId="22" fillId="8" borderId="2" xfId="0" applyFont="1" applyFill="1" applyBorder="1"/>
    <xf numFmtId="0" fontId="22" fillId="8" borderId="7" xfId="0" applyFont="1" applyFill="1" applyBorder="1"/>
    <xf numFmtId="0" fontId="23" fillId="2" borderId="8" xfId="0" applyFont="1" applyFill="1" applyBorder="1"/>
    <xf numFmtId="0" fontId="22" fillId="8" borderId="9" xfId="0" applyFont="1" applyFill="1" applyBorder="1"/>
    <xf numFmtId="0" fontId="22" fillId="8" borderId="10" xfId="0" applyFont="1" applyFill="1" applyBorder="1"/>
    <xf numFmtId="0" fontId="19" fillId="7" borderId="17" xfId="0" applyFont="1" applyFill="1" applyBorder="1"/>
    <xf numFmtId="0" fontId="19" fillId="7" borderId="18" xfId="0" applyFont="1" applyFill="1" applyBorder="1"/>
    <xf numFmtId="0" fontId="19" fillId="7" borderId="19" xfId="0" applyFont="1" applyFill="1" applyBorder="1"/>
    <xf numFmtId="4" fontId="6" fillId="6" borderId="7" xfId="0" applyNumberFormat="1" applyFont="1" applyFill="1" applyBorder="1" applyAlignment="1">
      <alignment horizontal="right"/>
    </xf>
    <xf numFmtId="4" fontId="15" fillId="6" borderId="27" xfId="0" applyNumberFormat="1" applyFont="1" applyFill="1" applyBorder="1"/>
    <xf numFmtId="49" fontId="13" fillId="2" borderId="41" xfId="0" applyNumberFormat="1" applyFont="1" applyFill="1" applyBorder="1" applyAlignment="1">
      <alignment horizontal="right"/>
    </xf>
    <xf numFmtId="0" fontId="21" fillId="2" borderId="38" xfId="0" applyFont="1" applyFill="1" applyBorder="1" applyAlignment="1">
      <alignment horizontal="center" vertical="center" wrapText="1"/>
    </xf>
    <xf numFmtId="0" fontId="21" fillId="2" borderId="39" xfId="0" applyFont="1" applyFill="1" applyBorder="1" applyAlignment="1">
      <alignment horizontal="center" vertical="center"/>
    </xf>
    <xf numFmtId="0" fontId="24" fillId="5" borderId="28" xfId="0" applyFont="1" applyFill="1" applyBorder="1" applyAlignment="1">
      <alignment horizontal="center" vertical="center"/>
    </xf>
    <xf numFmtId="0" fontId="24" fillId="5" borderId="29" xfId="0" applyFont="1" applyFill="1" applyBorder="1" applyAlignment="1">
      <alignment horizontal="center" vertical="center"/>
    </xf>
    <xf numFmtId="0" fontId="24" fillId="5" borderId="30" xfId="0" applyFont="1" applyFill="1" applyBorder="1" applyAlignment="1">
      <alignment horizontal="center" vertical="center"/>
    </xf>
    <xf numFmtId="4" fontId="1" fillId="8" borderId="12" xfId="0" applyNumberFormat="1" applyFont="1" applyFill="1" applyBorder="1" applyAlignment="1">
      <alignment horizontal="center"/>
    </xf>
    <xf numFmtId="4" fontId="1" fillId="8" borderId="13" xfId="0" applyNumberFormat="1" applyFont="1" applyFill="1" applyBorder="1" applyAlignment="1">
      <alignment horizontal="center"/>
    </xf>
    <xf numFmtId="4" fontId="1" fillId="8" borderId="14" xfId="0" applyNumberFormat="1" applyFont="1" applyFill="1" applyBorder="1" applyAlignment="1">
      <alignment horizontal="center"/>
    </xf>
    <xf numFmtId="4" fontId="1" fillId="8" borderId="21" xfId="0" applyNumberFormat="1" applyFont="1" applyFill="1" applyBorder="1" applyAlignment="1">
      <alignment horizontal="center"/>
    </xf>
    <xf numFmtId="4" fontId="1" fillId="8" borderId="22" xfId="0" applyNumberFormat="1" applyFont="1" applyFill="1" applyBorder="1" applyAlignment="1">
      <alignment horizontal="center"/>
    </xf>
    <xf numFmtId="4" fontId="1" fillId="8" borderId="23" xfId="0" applyNumberFormat="1" applyFont="1" applyFill="1" applyBorder="1" applyAlignment="1">
      <alignment horizontal="center"/>
    </xf>
    <xf numFmtId="4" fontId="1" fillId="2" borderId="21" xfId="0" applyNumberFormat="1" applyFont="1" applyFill="1" applyBorder="1" applyAlignment="1">
      <alignment horizontal="left"/>
    </xf>
    <xf numFmtId="4" fontId="1" fillId="2" borderId="23" xfId="0" applyNumberFormat="1" applyFont="1" applyFill="1" applyBorder="1" applyAlignment="1">
      <alignment horizontal="left"/>
    </xf>
    <xf numFmtId="4" fontId="1" fillId="2" borderId="24" xfId="0" applyNumberFormat="1" applyFont="1" applyFill="1" applyBorder="1" applyAlignment="1">
      <alignment horizontal="left"/>
    </xf>
    <xf numFmtId="4" fontId="5" fillId="4" borderId="21" xfId="0" applyNumberFormat="1" applyFont="1" applyFill="1" applyBorder="1" applyAlignment="1">
      <alignment horizontal="center"/>
    </xf>
    <xf numFmtId="4" fontId="5" fillId="4" borderId="23" xfId="0" applyNumberFormat="1" applyFont="1" applyFill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43" fontId="12" fillId="0" borderId="2" xfId="0" applyNumberFormat="1" applyFont="1" applyBorder="1" applyAlignment="1">
      <alignment horizontal="center"/>
    </xf>
    <xf numFmtId="43" fontId="12" fillId="0" borderId="7" xfId="0" applyNumberFormat="1" applyFont="1" applyBorder="1" applyAlignment="1">
      <alignment horizontal="center"/>
    </xf>
    <xf numFmtId="43" fontId="12" fillId="0" borderId="9" xfId="0" applyNumberFormat="1" applyFont="1" applyBorder="1" applyAlignment="1">
      <alignment horizontal="center"/>
    </xf>
    <xf numFmtId="43" fontId="12" fillId="0" borderId="10" xfId="0" applyNumberFormat="1" applyFont="1" applyBorder="1" applyAlignment="1">
      <alignment horizontal="center"/>
    </xf>
    <xf numFmtId="0" fontId="13" fillId="2" borderId="4" xfId="0" applyFont="1" applyFill="1" applyBorder="1" applyAlignment="1">
      <alignment horizontal="center"/>
    </xf>
    <xf numFmtId="10" fontId="22" fillId="8" borderId="7" xfId="2" applyNumberFormat="1" applyFont="1" applyFill="1" applyBorder="1" applyAlignment="1">
      <alignment horizontal="right"/>
    </xf>
    <xf numFmtId="10" fontId="22" fillId="8" borderId="10" xfId="2" applyNumberFormat="1" applyFont="1" applyFill="1" applyBorder="1" applyAlignment="1">
      <alignment horizontal="right"/>
    </xf>
    <xf numFmtId="10" fontId="22" fillId="0" borderId="5" xfId="2" applyNumberFormat="1" applyFont="1" applyBorder="1"/>
    <xf numFmtId="10" fontId="22" fillId="0" borderId="7" xfId="2" applyNumberFormat="1" applyFont="1" applyBorder="1"/>
    <xf numFmtId="10" fontId="22" fillId="0" borderId="10" xfId="2" applyNumberFormat="1" applyFont="1" applyFill="1" applyBorder="1"/>
  </cellXfs>
  <cellStyles count="3">
    <cellStyle name="Millares" xfId="1" builtinId="3"/>
    <cellStyle name="Normal" xfId="0" builtinId="0"/>
    <cellStyle name="Porcentual" xfId="2" builtinId="5"/>
  </cellStyles>
  <dxfs count="8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31F117"/>
      <color rgb="FFFFFF66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style val="8"/>
  <c:chart>
    <c:title>
      <c:tx>
        <c:rich>
          <a:bodyPr/>
          <a:lstStyle/>
          <a:p>
            <a:pPr>
              <a:defRPr/>
            </a:pPr>
            <a:r>
              <a:rPr lang="es-ES"/>
              <a:t>Valoración de la empresa</a:t>
            </a:r>
          </a:p>
        </c:rich>
      </c:tx>
      <c:layout/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'Valoración empresa_5n'!$E$2</c:f>
              <c:strCache>
                <c:ptCount val="1"/>
                <c:pt idx="0">
                  <c:v>Millones de Euros</c:v>
                </c:pt>
              </c:strCache>
            </c:strRef>
          </c:tx>
          <c:cat>
            <c:strRef>
              <c:f>'Valoración empresa_5n'!$B$3:$B$10</c:f>
              <c:strCache>
                <c:ptCount val="8"/>
                <c:pt idx="0">
                  <c:v>Valor contable</c:v>
                </c:pt>
                <c:pt idx="1">
                  <c:v>Valor contable ajustado</c:v>
                </c:pt>
                <c:pt idx="2">
                  <c:v>Ventas anuales</c:v>
                </c:pt>
                <c:pt idx="3">
                  <c:v>Resultado explotación</c:v>
                </c:pt>
                <c:pt idx="4">
                  <c:v>PER</c:v>
                </c:pt>
                <c:pt idx="5">
                  <c:v>FCF</c:v>
                </c:pt>
                <c:pt idx="6">
                  <c:v>FCF optimista</c:v>
                </c:pt>
                <c:pt idx="7">
                  <c:v>FCF pesimista</c:v>
                </c:pt>
              </c:strCache>
            </c:strRef>
          </c:cat>
          <c:val>
            <c:numRef>
              <c:f>'Valoración empresa_5n'!$E$3:$E$10</c:f>
              <c:numCache>
                <c:formatCode>_-* #,##0.00\ _€_-;\-* #,##0.00\ _€_-;_-* "-"??\ _€_-;_-@_-</c:formatCode>
                <c:ptCount val="8"/>
                <c:pt idx="0">
                  <c:v>7522.5</c:v>
                </c:pt>
                <c:pt idx="1">
                  <c:v>9522.5</c:v>
                </c:pt>
                <c:pt idx="2">
                  <c:v>23408.85</c:v>
                </c:pt>
                <c:pt idx="3">
                  <c:v>8331.2000000000007</c:v>
                </c:pt>
                <c:pt idx="4">
                  <c:v>23766</c:v>
                </c:pt>
                <c:pt idx="5">
                  <c:v>37420.851543399287</c:v>
                </c:pt>
                <c:pt idx="6">
                  <c:v>69396.887605726413</c:v>
                </c:pt>
                <c:pt idx="7">
                  <c:v>4629.3548503568927</c:v>
                </c:pt>
              </c:numCache>
            </c:numRef>
          </c:val>
        </c:ser>
        <c:shape val="box"/>
        <c:axId val="89209856"/>
        <c:axId val="89223936"/>
        <c:axId val="0"/>
      </c:bar3DChart>
      <c:catAx>
        <c:axId val="89209856"/>
        <c:scaling>
          <c:orientation val="minMax"/>
        </c:scaling>
        <c:axPos val="b"/>
        <c:tickLblPos val="nextTo"/>
        <c:crossAx val="89223936"/>
        <c:crosses val="autoZero"/>
        <c:auto val="1"/>
        <c:lblAlgn val="ctr"/>
        <c:lblOffset val="100"/>
      </c:catAx>
      <c:valAx>
        <c:axId val="89223936"/>
        <c:scaling>
          <c:orientation val="minMax"/>
        </c:scaling>
        <c:axPos val="l"/>
        <c:majorGridlines/>
        <c:numFmt formatCode="_-* #,##0.00\ _€_-;\-* #,##0.00\ _€_-;_-* &quot;-&quot;??\ _€_-;_-@_-" sourceLinked="1"/>
        <c:tickLblPos val="nextTo"/>
        <c:crossAx val="8920985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999" l="0.70000000000000062" r="0.70000000000000062" t="0.7500000000000099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361950</xdr:colOff>
      <xdr:row>0</xdr:row>
      <xdr:rowOff>171450</xdr:rowOff>
    </xdr:from>
    <xdr:to>
      <xdr:col>14</xdr:col>
      <xdr:colOff>171450</xdr:colOff>
      <xdr:row>18</xdr:row>
      <xdr:rowOff>133350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1"/>
  <dimension ref="A1:Q32"/>
  <sheetViews>
    <sheetView tabSelected="1" workbookViewId="0"/>
  </sheetViews>
  <sheetFormatPr baseColWidth="10" defaultRowHeight="15"/>
  <cols>
    <col min="1" max="1" width="3.85546875" customWidth="1"/>
    <col min="2" max="2" width="42.85546875" bestFit="1" customWidth="1"/>
    <col min="3" max="3" width="20.5703125" customWidth="1"/>
    <col min="4" max="4" width="6.28515625" customWidth="1"/>
    <col min="5" max="5" width="36.28515625" customWidth="1"/>
    <col min="6" max="6" width="17.7109375" customWidth="1"/>
    <col min="10" max="10" width="14" customWidth="1"/>
    <col min="11" max="11" width="49.28515625" hidden="1" customWidth="1"/>
    <col min="12" max="14" width="11.42578125" hidden="1" customWidth="1"/>
  </cols>
  <sheetData>
    <row r="1" spans="1:17" ht="15.75" customHeight="1" thickBot="1">
      <c r="A1" s="121"/>
      <c r="B1" s="122"/>
      <c r="C1" s="122"/>
      <c r="D1" s="122"/>
      <c r="E1" s="123"/>
      <c r="F1" s="1"/>
      <c r="G1" s="1"/>
      <c r="H1" s="1"/>
      <c r="I1" s="1"/>
      <c r="J1" s="1"/>
      <c r="K1" s="119"/>
      <c r="L1" s="119"/>
      <c r="M1" s="119"/>
      <c r="N1" s="119"/>
      <c r="O1" s="1"/>
      <c r="P1" s="1"/>
      <c r="Q1" s="2"/>
    </row>
    <row r="2" spans="1:17" ht="23.25" customHeight="1" thickBot="1">
      <c r="A2" s="124"/>
      <c r="B2" s="9" t="s">
        <v>26</v>
      </c>
      <c r="C2" s="125"/>
      <c r="D2" s="125"/>
      <c r="E2" s="126"/>
      <c r="F2" s="4"/>
      <c r="G2" s="4"/>
      <c r="H2" s="4"/>
      <c r="I2" s="4"/>
      <c r="J2" s="4"/>
      <c r="K2" s="120"/>
      <c r="L2" s="120"/>
      <c r="M2" s="120"/>
      <c r="N2" s="120"/>
      <c r="O2" s="4"/>
      <c r="P2" s="4"/>
      <c r="Q2" s="5"/>
    </row>
    <row r="3" spans="1:17" ht="23.25" customHeight="1" thickBot="1">
      <c r="A3" s="124"/>
      <c r="B3" s="125"/>
      <c r="C3" s="125"/>
      <c r="D3" s="125"/>
      <c r="E3" s="126"/>
      <c r="F3" s="4"/>
      <c r="G3" s="4"/>
      <c r="H3" s="4"/>
      <c r="I3" s="4"/>
      <c r="J3" s="4"/>
      <c r="K3" s="120">
        <v>3</v>
      </c>
      <c r="L3" s="120" t="s">
        <v>75</v>
      </c>
      <c r="M3" s="120"/>
      <c r="N3" s="120"/>
      <c r="O3" s="4"/>
      <c r="P3" s="4"/>
      <c r="Q3" s="5"/>
    </row>
    <row r="4" spans="1:17" ht="23.25" customHeight="1" thickBot="1">
      <c r="A4" s="124"/>
      <c r="B4" s="118" t="s">
        <v>81</v>
      </c>
      <c r="C4" s="117">
        <v>5</v>
      </c>
      <c r="D4" s="125"/>
      <c r="E4" s="126"/>
      <c r="F4" s="4"/>
      <c r="G4" s="4"/>
      <c r="H4" s="4"/>
      <c r="I4" s="4"/>
      <c r="J4" s="4"/>
      <c r="K4" s="120"/>
      <c r="L4" s="120"/>
      <c r="M4" s="120">
        <v>5</v>
      </c>
      <c r="N4" s="120" t="s">
        <v>79</v>
      </c>
      <c r="O4" s="4"/>
      <c r="P4" s="4"/>
      <c r="Q4" s="5"/>
    </row>
    <row r="5" spans="1:17" ht="23.25" customHeight="1" thickBot="1">
      <c r="A5" s="124"/>
      <c r="B5" s="118" t="s">
        <v>82</v>
      </c>
      <c r="C5" s="125"/>
      <c r="D5" s="125"/>
      <c r="E5" s="126"/>
      <c r="F5" s="4"/>
      <c r="G5" s="4"/>
      <c r="H5" s="4"/>
      <c r="I5" s="4"/>
      <c r="J5" s="4"/>
      <c r="K5" s="120"/>
      <c r="L5" s="120"/>
      <c r="M5" s="120">
        <v>10</v>
      </c>
      <c r="N5" s="120"/>
      <c r="O5" s="4"/>
      <c r="P5" s="4"/>
      <c r="Q5" s="5"/>
    </row>
    <row r="6" spans="1:17">
      <c r="A6" s="124"/>
      <c r="B6" s="125"/>
      <c r="C6" s="125"/>
      <c r="D6" s="125"/>
      <c r="E6" s="126"/>
      <c r="F6" s="4"/>
      <c r="G6" s="4"/>
      <c r="H6" s="4"/>
      <c r="I6" s="4"/>
      <c r="J6" s="4"/>
      <c r="K6" s="120"/>
      <c r="L6" s="120"/>
      <c r="M6" s="120"/>
      <c r="N6" s="120"/>
      <c r="O6" s="4"/>
      <c r="P6" s="4"/>
      <c r="Q6" s="5"/>
    </row>
    <row r="7" spans="1:17" hidden="1">
      <c r="A7" s="124"/>
      <c r="B7" s="125"/>
      <c r="C7" s="125"/>
      <c r="D7" s="125"/>
      <c r="E7" s="126"/>
      <c r="F7" s="4"/>
      <c r="G7" s="4"/>
      <c r="H7" s="4"/>
      <c r="I7" s="4"/>
      <c r="J7" s="4"/>
      <c r="K7" s="120"/>
      <c r="L7" s="120"/>
      <c r="M7" s="120"/>
      <c r="N7" s="120"/>
      <c r="O7" s="4"/>
      <c r="P7" s="4"/>
      <c r="Q7" s="5"/>
    </row>
    <row r="8" spans="1:17" hidden="1">
      <c r="A8" s="124"/>
      <c r="B8" s="125"/>
      <c r="C8" s="125"/>
      <c r="D8" s="125"/>
      <c r="E8" s="126"/>
      <c r="F8" s="4"/>
      <c r="G8" s="4"/>
      <c r="H8" s="4"/>
      <c r="I8" s="4"/>
      <c r="J8" s="4"/>
      <c r="K8" s="120"/>
      <c r="L8" s="120"/>
      <c r="M8" s="120"/>
      <c r="N8" s="120"/>
      <c r="O8" s="4"/>
      <c r="P8" s="4"/>
      <c r="Q8" s="5"/>
    </row>
    <row r="9" spans="1:17" hidden="1">
      <c r="A9" s="124"/>
      <c r="B9" s="125"/>
      <c r="C9" s="125"/>
      <c r="D9" s="125"/>
      <c r="E9" s="126"/>
      <c r="F9" s="4"/>
      <c r="G9" s="4"/>
      <c r="H9" s="4"/>
      <c r="I9" s="4"/>
      <c r="J9" s="4"/>
      <c r="K9" s="120"/>
      <c r="L9" s="120"/>
      <c r="M9" s="120"/>
      <c r="N9" s="120"/>
      <c r="O9" s="4"/>
      <c r="P9" s="4"/>
      <c r="Q9" s="5"/>
    </row>
    <row r="10" spans="1:17" hidden="1">
      <c r="A10" s="124"/>
      <c r="B10" s="125"/>
      <c r="C10" s="125"/>
      <c r="D10" s="125"/>
      <c r="E10" s="126"/>
      <c r="F10" s="4"/>
      <c r="G10" s="4"/>
      <c r="H10" s="4"/>
      <c r="I10" s="4"/>
      <c r="J10" s="4"/>
      <c r="K10" s="120"/>
      <c r="L10" s="120"/>
      <c r="M10" s="120"/>
      <c r="N10" s="120"/>
      <c r="O10" s="4"/>
      <c r="P10" s="4"/>
      <c r="Q10" s="5"/>
    </row>
    <row r="11" spans="1:17" hidden="1">
      <c r="A11" s="124"/>
      <c r="B11" s="125"/>
      <c r="C11" s="125"/>
      <c r="D11" s="125"/>
      <c r="E11" s="126"/>
      <c r="F11" s="4"/>
      <c r="G11" s="4"/>
      <c r="H11" s="4"/>
      <c r="I11" s="4"/>
      <c r="J11" s="4"/>
      <c r="K11" s="120"/>
      <c r="L11" s="120"/>
      <c r="M11" s="120"/>
      <c r="N11" s="120"/>
      <c r="O11" s="4"/>
      <c r="P11" s="4"/>
      <c r="Q11" s="5"/>
    </row>
    <row r="12" spans="1:17" hidden="1">
      <c r="A12" s="124"/>
      <c r="B12" s="125"/>
      <c r="C12" s="125"/>
      <c r="D12" s="125"/>
      <c r="E12" s="126"/>
      <c r="F12" s="4"/>
      <c r="G12" s="4"/>
      <c r="H12" s="4"/>
      <c r="I12" s="4"/>
      <c r="J12" s="4"/>
      <c r="K12" s="120"/>
      <c r="L12" s="120"/>
      <c r="M12" s="120"/>
      <c r="N12" s="120"/>
      <c r="O12" s="4"/>
      <c r="P12" s="4"/>
      <c r="Q12" s="5"/>
    </row>
    <row r="13" spans="1:17" hidden="1">
      <c r="A13" s="124"/>
      <c r="B13" s="125"/>
      <c r="C13" s="125"/>
      <c r="D13" s="125"/>
      <c r="E13" s="126"/>
      <c r="F13" s="4"/>
      <c r="G13" s="4"/>
      <c r="H13" s="4"/>
      <c r="I13" s="4"/>
      <c r="J13" s="4"/>
      <c r="K13" s="120"/>
      <c r="L13" s="120"/>
      <c r="M13" s="120"/>
      <c r="N13" s="120"/>
      <c r="O13" s="4"/>
      <c r="P13" s="4"/>
      <c r="Q13" s="5"/>
    </row>
    <row r="14" spans="1:17" hidden="1">
      <c r="A14" s="124"/>
      <c r="B14" s="125"/>
      <c r="C14" s="125"/>
      <c r="D14" s="125"/>
      <c r="E14" s="126"/>
      <c r="F14" s="4"/>
      <c r="G14" s="4"/>
      <c r="H14" s="4"/>
      <c r="I14" s="4"/>
      <c r="J14" s="4"/>
      <c r="K14" s="120"/>
      <c r="L14" s="120"/>
      <c r="M14" s="120"/>
      <c r="N14" s="120"/>
      <c r="O14" s="4"/>
      <c r="P14" s="4"/>
      <c r="Q14" s="5"/>
    </row>
    <row r="15" spans="1:17" hidden="1">
      <c r="A15" s="124"/>
      <c r="B15" s="125"/>
      <c r="C15" s="125"/>
      <c r="D15" s="125"/>
      <c r="E15" s="126"/>
      <c r="F15" s="4"/>
      <c r="G15" s="4"/>
      <c r="H15" s="4"/>
      <c r="I15" s="4"/>
      <c r="J15" s="4"/>
      <c r="K15" s="120"/>
      <c r="L15" s="120"/>
      <c r="M15" s="120"/>
      <c r="N15" s="120"/>
      <c r="O15" s="4"/>
      <c r="P15" s="4"/>
      <c r="Q15" s="5"/>
    </row>
    <row r="16" spans="1:17" hidden="1">
      <c r="A16" s="124"/>
      <c r="B16" s="125"/>
      <c r="C16" s="125"/>
      <c r="D16" s="125"/>
      <c r="E16" s="126"/>
      <c r="F16" s="4"/>
      <c r="G16" s="4"/>
      <c r="H16" s="4"/>
      <c r="I16" s="4"/>
      <c r="J16" s="4"/>
      <c r="K16" s="120"/>
      <c r="L16" s="120"/>
      <c r="M16" s="120"/>
      <c r="N16" s="120"/>
      <c r="O16" s="4"/>
      <c r="P16" s="4"/>
      <c r="Q16" s="5"/>
    </row>
    <row r="17" spans="1:17">
      <c r="A17" s="124"/>
      <c r="B17" s="125"/>
      <c r="C17" s="125"/>
      <c r="D17" s="125"/>
      <c r="E17" s="126"/>
      <c r="F17" s="4"/>
      <c r="G17" s="4"/>
      <c r="H17" s="4"/>
      <c r="I17" s="4"/>
      <c r="J17" s="4"/>
      <c r="K17" s="120"/>
      <c r="L17" s="120"/>
      <c r="M17" s="120"/>
      <c r="N17" s="120"/>
      <c r="O17" s="4"/>
      <c r="P17" s="4"/>
      <c r="Q17" s="5"/>
    </row>
    <row r="18" spans="1:17" ht="15.75" thickBot="1">
      <c r="A18" s="127"/>
      <c r="B18" s="128"/>
      <c r="C18" s="128"/>
      <c r="D18" s="128"/>
      <c r="E18" s="129"/>
      <c r="F18" s="4"/>
      <c r="G18" s="4"/>
      <c r="H18" s="4"/>
      <c r="I18" s="4"/>
      <c r="J18" s="4"/>
      <c r="K18" s="120"/>
      <c r="L18" s="120"/>
      <c r="M18" s="120"/>
      <c r="N18" s="120"/>
      <c r="O18" s="4"/>
      <c r="P18" s="4"/>
      <c r="Q18" s="5"/>
    </row>
    <row r="19" spans="1:17">
      <c r="A19" s="3"/>
      <c r="B19" s="4"/>
      <c r="C19" s="4"/>
      <c r="D19" s="4"/>
      <c r="E19" s="4"/>
      <c r="F19" s="4"/>
      <c r="G19" s="4"/>
      <c r="H19" s="4"/>
      <c r="I19" s="4"/>
      <c r="J19" s="4"/>
      <c r="K19" s="120"/>
      <c r="L19" s="120"/>
      <c r="M19" s="120"/>
      <c r="N19" s="120"/>
      <c r="O19" s="4"/>
      <c r="P19" s="4"/>
      <c r="Q19" s="5"/>
    </row>
    <row r="20" spans="1:17">
      <c r="A20" s="3"/>
      <c r="B20" s="4"/>
      <c r="C20" s="4"/>
      <c r="D20" s="4"/>
      <c r="E20" s="4"/>
      <c r="F20" s="4"/>
      <c r="G20" s="4"/>
      <c r="H20" s="4"/>
      <c r="I20" s="4"/>
      <c r="J20" s="4"/>
      <c r="K20" s="120"/>
      <c r="L20" s="120"/>
      <c r="M20" s="120"/>
      <c r="N20" s="120"/>
      <c r="O20" s="4"/>
      <c r="P20" s="4"/>
      <c r="Q20" s="5"/>
    </row>
    <row r="21" spans="1:17">
      <c r="A21" s="3"/>
      <c r="B21" s="4"/>
      <c r="C21" s="4"/>
      <c r="D21" s="4"/>
      <c r="E21" s="4"/>
      <c r="F21" s="4"/>
      <c r="G21" s="4"/>
      <c r="H21" s="4"/>
      <c r="I21" s="4"/>
      <c r="J21" s="4"/>
      <c r="K21" s="120"/>
      <c r="L21" s="120"/>
      <c r="M21" s="120"/>
      <c r="N21" s="120"/>
      <c r="O21" s="4"/>
      <c r="P21" s="4"/>
      <c r="Q21" s="5"/>
    </row>
    <row r="22" spans="1:17">
      <c r="A22" s="3"/>
      <c r="B22" s="4"/>
      <c r="C22" s="4"/>
      <c r="D22" s="4"/>
      <c r="E22" s="4"/>
      <c r="F22" s="4"/>
      <c r="G22" s="4"/>
      <c r="H22" s="4"/>
      <c r="I22" s="4"/>
      <c r="J22" s="4"/>
      <c r="K22" s="120"/>
      <c r="L22" s="120"/>
      <c r="M22" s="120"/>
      <c r="N22" s="120"/>
      <c r="O22" s="4"/>
      <c r="P22" s="4"/>
      <c r="Q22" s="5"/>
    </row>
    <row r="23" spans="1:17">
      <c r="A23" s="3"/>
      <c r="B23" s="4"/>
      <c r="C23" s="4"/>
      <c r="D23" s="4"/>
      <c r="E23" s="4"/>
      <c r="F23" s="4"/>
      <c r="G23" s="4"/>
      <c r="H23" s="4"/>
      <c r="I23" s="4"/>
      <c r="J23" s="4"/>
      <c r="K23" s="120"/>
      <c r="L23" s="120"/>
      <c r="M23" s="120"/>
      <c r="N23" s="120"/>
      <c r="O23" s="4"/>
      <c r="P23" s="4"/>
      <c r="Q23" s="5"/>
    </row>
    <row r="24" spans="1:17">
      <c r="A24" s="3"/>
      <c r="B24" s="4"/>
      <c r="C24" s="4"/>
      <c r="D24" s="4"/>
      <c r="E24" s="4"/>
      <c r="F24" s="4"/>
      <c r="G24" s="4"/>
      <c r="H24" s="4"/>
      <c r="I24" s="4"/>
      <c r="J24" s="4"/>
      <c r="K24" s="120"/>
      <c r="L24" s="120"/>
      <c r="M24" s="120"/>
      <c r="N24" s="120"/>
      <c r="O24" s="4"/>
      <c r="P24" s="4"/>
      <c r="Q24" s="5"/>
    </row>
    <row r="25" spans="1:17">
      <c r="A25" s="3"/>
      <c r="B25" s="4"/>
      <c r="C25" s="4"/>
      <c r="D25" s="4"/>
      <c r="E25" s="4"/>
      <c r="F25" s="4"/>
      <c r="G25" s="4"/>
      <c r="H25" s="4"/>
      <c r="I25" s="4"/>
      <c r="J25" s="4"/>
      <c r="K25" s="120"/>
      <c r="L25" s="120"/>
      <c r="M25" s="120"/>
      <c r="N25" s="120"/>
      <c r="O25" s="4"/>
      <c r="P25" s="4"/>
      <c r="Q25" s="5"/>
    </row>
    <row r="26" spans="1:17">
      <c r="A26" s="3"/>
      <c r="B26" s="4"/>
      <c r="C26" s="4"/>
      <c r="D26" s="4"/>
      <c r="E26" s="4"/>
      <c r="F26" s="4"/>
      <c r="G26" s="4"/>
      <c r="H26" s="4"/>
      <c r="I26" s="4"/>
      <c r="J26" s="4"/>
      <c r="K26" s="120"/>
      <c r="L26" s="120"/>
      <c r="M26" s="120"/>
      <c r="N26" s="120"/>
      <c r="O26" s="4"/>
      <c r="P26" s="4"/>
      <c r="Q26" s="5"/>
    </row>
    <row r="27" spans="1:17">
      <c r="A27" s="3"/>
      <c r="B27" s="4"/>
      <c r="C27" s="4"/>
      <c r="D27" s="4"/>
      <c r="E27" s="4"/>
      <c r="F27" s="4"/>
      <c r="G27" s="4"/>
      <c r="H27" s="4"/>
      <c r="I27" s="4"/>
      <c r="J27" s="4"/>
      <c r="K27" s="120"/>
      <c r="L27" s="120"/>
      <c r="M27" s="120"/>
      <c r="N27" s="120"/>
      <c r="O27" s="4"/>
      <c r="P27" s="4"/>
      <c r="Q27" s="5"/>
    </row>
    <row r="28" spans="1:17">
      <c r="A28" s="3"/>
      <c r="B28" s="4"/>
      <c r="C28" s="4"/>
      <c r="D28" s="4"/>
      <c r="E28" s="4"/>
      <c r="F28" s="4"/>
      <c r="G28" s="4"/>
      <c r="H28" s="4"/>
      <c r="I28" s="4"/>
      <c r="J28" s="4"/>
      <c r="K28" s="120"/>
      <c r="L28" s="120"/>
      <c r="M28" s="120"/>
      <c r="N28" s="120"/>
      <c r="O28" s="4"/>
      <c r="P28" s="4"/>
      <c r="Q28" s="5"/>
    </row>
    <row r="29" spans="1:17">
      <c r="A29" s="3"/>
      <c r="B29" s="4"/>
      <c r="C29" s="4"/>
      <c r="D29" s="4"/>
      <c r="E29" s="4"/>
      <c r="F29" s="4"/>
      <c r="G29" s="4"/>
      <c r="H29" s="4"/>
      <c r="I29" s="4"/>
      <c r="J29" s="4"/>
      <c r="K29" s="120"/>
      <c r="L29" s="120"/>
      <c r="M29" s="120"/>
      <c r="N29" s="120"/>
      <c r="O29" s="4"/>
      <c r="P29" s="4"/>
      <c r="Q29" s="5"/>
    </row>
    <row r="30" spans="1:17">
      <c r="A30" s="3"/>
      <c r="B30" s="4"/>
      <c r="C30" s="4"/>
      <c r="D30" s="4"/>
      <c r="E30" s="4"/>
      <c r="F30" s="4"/>
      <c r="G30" s="4"/>
      <c r="H30" s="4"/>
      <c r="I30" s="4"/>
      <c r="J30" s="4"/>
      <c r="K30" s="120"/>
      <c r="L30" s="120"/>
      <c r="M30" s="120"/>
      <c r="N30" s="120"/>
      <c r="O30" s="4"/>
      <c r="P30" s="4"/>
      <c r="Q30" s="5"/>
    </row>
    <row r="31" spans="1:17">
      <c r="A31" s="3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5"/>
    </row>
    <row r="32" spans="1:17" ht="15.75" thickBot="1">
      <c r="A32" s="6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8"/>
    </row>
  </sheetData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Hoja3"/>
  <dimension ref="A1:N62"/>
  <sheetViews>
    <sheetView topLeftCell="A49" workbookViewId="0">
      <selection activeCell="C52" sqref="C52:C55"/>
    </sheetView>
  </sheetViews>
  <sheetFormatPr baseColWidth="10" defaultRowHeight="12"/>
  <cols>
    <col min="1" max="1" width="3.85546875" style="140" customWidth="1"/>
    <col min="2" max="2" width="57" style="140" customWidth="1"/>
    <col min="3" max="3" width="13.5703125" style="140" customWidth="1"/>
    <col min="4" max="4" width="6.28515625" style="140" customWidth="1"/>
    <col min="5" max="5" width="54.42578125" style="140" customWidth="1"/>
    <col min="6" max="6" width="15.28515625" style="140" customWidth="1"/>
    <col min="7" max="9" width="11.42578125" style="140"/>
    <col min="10" max="10" width="11.28515625" style="140" customWidth="1"/>
    <col min="11" max="11" width="49.28515625" style="140" hidden="1" customWidth="1"/>
    <col min="12" max="14" width="11.42578125" style="140" hidden="1" customWidth="1"/>
    <col min="15" max="16384" width="11.42578125" style="140"/>
  </cols>
  <sheetData>
    <row r="1" spans="1:14" ht="15.75" customHeight="1" thickBot="1">
      <c r="A1" s="137"/>
      <c r="B1" s="138"/>
      <c r="C1" s="138"/>
      <c r="D1" s="138"/>
      <c r="E1" s="138"/>
      <c r="F1" s="138"/>
      <c r="G1" s="138"/>
      <c r="H1" s="138"/>
      <c r="I1" s="139"/>
    </row>
    <row r="2" spans="1:14" ht="30.75" customHeight="1" thickBot="1">
      <c r="A2" s="141"/>
      <c r="B2" s="142" t="s">
        <v>26</v>
      </c>
      <c r="C2" s="143"/>
      <c r="D2" s="143"/>
      <c r="E2" s="171" t="s">
        <v>89</v>
      </c>
      <c r="F2" s="144" t="s">
        <v>69</v>
      </c>
      <c r="G2" s="143"/>
      <c r="H2" s="143"/>
      <c r="I2" s="145"/>
    </row>
    <row r="3" spans="1:14" ht="30.75" customHeight="1" thickBot="1">
      <c r="A3" s="141"/>
      <c r="B3" s="143"/>
      <c r="C3" s="143"/>
      <c r="D3" s="143"/>
      <c r="E3" s="172"/>
      <c r="F3" s="146" t="s">
        <v>70</v>
      </c>
      <c r="G3" s="143"/>
      <c r="H3" s="143"/>
      <c r="I3" s="145"/>
      <c r="L3" s="140" t="s">
        <v>76</v>
      </c>
      <c r="M3" s="140">
        <v>3</v>
      </c>
      <c r="N3" s="140" t="s">
        <v>75</v>
      </c>
    </row>
    <row r="4" spans="1:14" ht="23.25" customHeight="1" thickBot="1">
      <c r="A4" s="141"/>
      <c r="B4" s="143"/>
      <c r="C4" s="143"/>
      <c r="D4" s="143"/>
      <c r="E4" s="143"/>
      <c r="F4" s="143"/>
      <c r="G4" s="143"/>
      <c r="H4" s="143"/>
      <c r="I4" s="145"/>
      <c r="L4" s="140" t="s">
        <v>77</v>
      </c>
      <c r="M4" s="140">
        <v>5</v>
      </c>
      <c r="N4" s="140" t="s">
        <v>79</v>
      </c>
    </row>
    <row r="5" spans="1:14" ht="15" customHeight="1" thickBot="1">
      <c r="A5" s="141"/>
      <c r="B5" s="173" t="s">
        <v>90</v>
      </c>
      <c r="C5" s="174"/>
      <c r="D5" s="143"/>
      <c r="E5" s="143"/>
      <c r="F5" s="143"/>
      <c r="G5" s="143"/>
      <c r="H5" s="143"/>
      <c r="I5" s="145"/>
      <c r="L5" s="140" t="s">
        <v>80</v>
      </c>
      <c r="M5" s="140">
        <v>10</v>
      </c>
    </row>
    <row r="6" spans="1:14" ht="15" customHeight="1">
      <c r="A6" s="141"/>
      <c r="B6" s="147" t="s">
        <v>10</v>
      </c>
      <c r="C6" s="194">
        <v>0.05</v>
      </c>
      <c r="D6" s="143"/>
      <c r="E6" s="148" t="s">
        <v>56</v>
      </c>
      <c r="F6" s="149" t="s">
        <v>108</v>
      </c>
      <c r="G6" s="143"/>
      <c r="H6" s="143"/>
      <c r="I6" s="145"/>
      <c r="M6" s="140">
        <v>20</v>
      </c>
    </row>
    <row r="7" spans="1:14" ht="15" customHeight="1">
      <c r="A7" s="141"/>
      <c r="B7" s="147" t="s">
        <v>62</v>
      </c>
      <c r="C7" s="194">
        <v>0.02</v>
      </c>
      <c r="D7" s="143"/>
      <c r="E7" s="147" t="s">
        <v>57</v>
      </c>
      <c r="F7" s="150" t="s">
        <v>109</v>
      </c>
      <c r="G7" s="143"/>
      <c r="H7" s="143"/>
      <c r="I7" s="145"/>
      <c r="M7" s="140">
        <v>50</v>
      </c>
    </row>
    <row r="8" spans="1:14" ht="15" customHeight="1">
      <c r="A8" s="141"/>
      <c r="B8" s="147" t="s">
        <v>59</v>
      </c>
      <c r="C8" s="194">
        <v>0</v>
      </c>
      <c r="D8" s="143"/>
      <c r="E8" s="147" t="s">
        <v>87</v>
      </c>
      <c r="F8" s="151">
        <v>40543</v>
      </c>
      <c r="G8" s="143"/>
      <c r="H8" s="143"/>
      <c r="I8" s="145"/>
    </row>
    <row r="9" spans="1:14" ht="15" customHeight="1">
      <c r="A9" s="141"/>
      <c r="B9" s="147" t="s">
        <v>60</v>
      </c>
      <c r="C9" s="194">
        <v>0</v>
      </c>
      <c r="D9" s="143"/>
      <c r="E9" s="147" t="s">
        <v>72</v>
      </c>
      <c r="F9" s="150" t="s">
        <v>110</v>
      </c>
      <c r="G9" s="143"/>
      <c r="H9" s="143"/>
      <c r="I9" s="145"/>
    </row>
    <row r="10" spans="1:14" ht="15" customHeight="1" thickBot="1">
      <c r="A10" s="141"/>
      <c r="B10" s="147" t="s">
        <v>61</v>
      </c>
      <c r="C10" s="194">
        <v>0.02</v>
      </c>
      <c r="D10" s="143"/>
      <c r="E10" s="152" t="s">
        <v>88</v>
      </c>
      <c r="F10" s="153" t="s">
        <v>80</v>
      </c>
      <c r="G10" s="143"/>
      <c r="H10" s="143"/>
      <c r="I10" s="145"/>
    </row>
    <row r="11" spans="1:14" ht="15" customHeight="1">
      <c r="A11" s="141"/>
      <c r="B11" s="147" t="s">
        <v>63</v>
      </c>
      <c r="C11" s="194">
        <v>0.02</v>
      </c>
      <c r="D11" s="143"/>
      <c r="E11" s="143"/>
      <c r="F11" s="143"/>
      <c r="G11" s="143"/>
      <c r="H11" s="143"/>
      <c r="I11" s="145"/>
    </row>
    <row r="12" spans="1:14" ht="15" customHeight="1">
      <c r="A12" s="141"/>
      <c r="B12" s="147" t="s">
        <v>64</v>
      </c>
      <c r="C12" s="194">
        <v>0.02</v>
      </c>
      <c r="D12" s="143"/>
      <c r="E12" s="143"/>
      <c r="F12" s="143"/>
      <c r="G12" s="143"/>
      <c r="H12" s="143"/>
      <c r="I12" s="145"/>
    </row>
    <row r="13" spans="1:14" ht="15" customHeight="1">
      <c r="A13" s="141"/>
      <c r="B13" s="147" t="s">
        <v>5</v>
      </c>
      <c r="C13" s="194">
        <v>0.05</v>
      </c>
      <c r="D13" s="143"/>
      <c r="E13" s="143"/>
      <c r="F13" s="143"/>
      <c r="G13" s="143"/>
      <c r="H13" s="143"/>
      <c r="I13" s="145"/>
    </row>
    <row r="14" spans="1:14" ht="15" customHeight="1">
      <c r="A14" s="141"/>
      <c r="B14" s="147" t="s">
        <v>65</v>
      </c>
      <c r="C14" s="194">
        <v>0</v>
      </c>
      <c r="D14" s="143"/>
      <c r="E14" s="143"/>
      <c r="F14" s="143"/>
      <c r="G14" s="143"/>
      <c r="H14" s="143"/>
      <c r="I14" s="145"/>
    </row>
    <row r="15" spans="1:14" ht="15" customHeight="1" thickBot="1">
      <c r="A15" s="141"/>
      <c r="B15" s="152" t="s">
        <v>66</v>
      </c>
      <c r="C15" s="195">
        <v>0.05</v>
      </c>
      <c r="D15" s="143"/>
      <c r="E15" s="143"/>
      <c r="F15" s="143"/>
      <c r="G15" s="143"/>
      <c r="H15" s="143"/>
      <c r="I15" s="145"/>
      <c r="K15" s="154" t="s">
        <v>6</v>
      </c>
    </row>
    <row r="16" spans="1:14" ht="15" customHeight="1" thickBot="1">
      <c r="A16" s="141"/>
      <c r="B16" s="143"/>
      <c r="C16" s="143"/>
      <c r="D16" s="143"/>
      <c r="E16" s="143"/>
      <c r="F16" s="143"/>
      <c r="G16" s="143"/>
      <c r="H16" s="143"/>
      <c r="I16" s="145"/>
      <c r="K16" s="154" t="s">
        <v>52</v>
      </c>
    </row>
    <row r="17" spans="1:11" ht="15" customHeight="1">
      <c r="A17" s="141"/>
      <c r="B17" s="173" t="s">
        <v>91</v>
      </c>
      <c r="C17" s="174"/>
      <c r="D17" s="143"/>
      <c r="E17" s="173" t="s">
        <v>92</v>
      </c>
      <c r="F17" s="174"/>
      <c r="G17" s="143"/>
      <c r="H17" s="143"/>
      <c r="I17" s="145"/>
      <c r="K17" s="154"/>
    </row>
    <row r="18" spans="1:11" ht="15" customHeight="1">
      <c r="A18" s="141"/>
      <c r="B18" s="147" t="s">
        <v>34</v>
      </c>
      <c r="C18" s="194">
        <v>0</v>
      </c>
      <c r="D18" s="143"/>
      <c r="E18" s="147" t="s">
        <v>9</v>
      </c>
      <c r="F18" s="194">
        <v>0.09</v>
      </c>
      <c r="G18" s="143"/>
      <c r="H18" s="143"/>
      <c r="I18" s="145"/>
      <c r="K18" s="154"/>
    </row>
    <row r="19" spans="1:11" ht="15" customHeight="1">
      <c r="A19" s="141"/>
      <c r="B19" s="147" t="s">
        <v>35</v>
      </c>
      <c r="C19" s="194">
        <v>0.02</v>
      </c>
      <c r="D19" s="143"/>
      <c r="E19" s="147" t="s">
        <v>37</v>
      </c>
      <c r="F19" s="194">
        <v>0</v>
      </c>
      <c r="G19" s="143"/>
      <c r="H19" s="143"/>
      <c r="I19" s="145"/>
      <c r="K19" s="154"/>
    </row>
    <row r="20" spans="1:11" ht="15" customHeight="1">
      <c r="A20" s="141"/>
      <c r="B20" s="147" t="s">
        <v>86</v>
      </c>
      <c r="C20" s="194">
        <v>0</v>
      </c>
      <c r="D20" s="143"/>
      <c r="E20" s="147" t="s">
        <v>21</v>
      </c>
      <c r="F20" s="194">
        <v>0.02</v>
      </c>
      <c r="G20" s="143"/>
      <c r="H20" s="143"/>
      <c r="I20" s="145"/>
      <c r="K20" s="154"/>
    </row>
    <row r="21" spans="1:11" ht="15" customHeight="1" thickBot="1">
      <c r="A21" s="141"/>
      <c r="B21" s="147" t="s">
        <v>6</v>
      </c>
      <c r="C21" s="194">
        <v>0.02</v>
      </c>
      <c r="D21" s="143"/>
      <c r="E21" s="152" t="s">
        <v>84</v>
      </c>
      <c r="F21" s="195">
        <v>0</v>
      </c>
      <c r="G21" s="143"/>
      <c r="H21" s="143"/>
      <c r="I21" s="145"/>
      <c r="K21" s="154"/>
    </row>
    <row r="22" spans="1:11" ht="15" customHeight="1">
      <c r="A22" s="141"/>
      <c r="B22" s="147" t="s">
        <v>19</v>
      </c>
      <c r="C22" s="194">
        <v>0</v>
      </c>
      <c r="D22" s="143"/>
      <c r="E22" s="143"/>
      <c r="F22" s="143"/>
      <c r="G22" s="143"/>
      <c r="H22" s="143"/>
      <c r="I22" s="145"/>
      <c r="K22" s="154"/>
    </row>
    <row r="23" spans="1:11" ht="15" customHeight="1" thickBot="1">
      <c r="A23" s="141"/>
      <c r="B23" s="152" t="s">
        <v>85</v>
      </c>
      <c r="C23" s="195">
        <v>0</v>
      </c>
      <c r="D23" s="143"/>
      <c r="E23" s="143"/>
      <c r="F23" s="143"/>
      <c r="G23" s="143"/>
      <c r="H23" s="143"/>
      <c r="I23" s="145"/>
      <c r="K23" s="154"/>
    </row>
    <row r="24" spans="1:11" ht="15" customHeight="1">
      <c r="A24" s="141"/>
      <c r="B24" s="143"/>
      <c r="C24" s="143"/>
      <c r="D24" s="143"/>
      <c r="E24" s="143"/>
      <c r="F24" s="143"/>
      <c r="G24" s="143"/>
      <c r="H24" s="143"/>
      <c r="I24" s="145"/>
      <c r="K24" s="154"/>
    </row>
    <row r="25" spans="1:11" ht="12.75" thickBot="1">
      <c r="A25" s="141"/>
      <c r="B25" s="143"/>
      <c r="C25" s="143"/>
      <c r="D25" s="143"/>
      <c r="E25" s="143"/>
      <c r="F25" s="143"/>
      <c r="G25" s="143"/>
      <c r="H25" s="143"/>
      <c r="I25" s="145"/>
      <c r="K25" s="155" t="s">
        <v>20</v>
      </c>
    </row>
    <row r="26" spans="1:11">
      <c r="A26" s="141"/>
      <c r="B26" s="173" t="s">
        <v>93</v>
      </c>
      <c r="C26" s="174"/>
      <c r="D26" s="143"/>
      <c r="E26" s="173" t="s">
        <v>94</v>
      </c>
      <c r="F26" s="174"/>
      <c r="G26" s="143"/>
      <c r="H26" s="143"/>
      <c r="I26" s="145"/>
      <c r="K26" s="154" t="s">
        <v>53</v>
      </c>
    </row>
    <row r="27" spans="1:11">
      <c r="A27" s="141"/>
      <c r="B27" s="147" t="s">
        <v>10</v>
      </c>
      <c r="C27" s="194">
        <v>0.25</v>
      </c>
      <c r="D27" s="143"/>
      <c r="E27" s="147" t="s">
        <v>10</v>
      </c>
      <c r="F27" s="194">
        <v>-0.25</v>
      </c>
      <c r="G27" s="143"/>
      <c r="H27" s="143"/>
      <c r="I27" s="145"/>
      <c r="K27" s="154" t="s">
        <v>54</v>
      </c>
    </row>
    <row r="28" spans="1:11">
      <c r="A28" s="141"/>
      <c r="B28" s="147" t="s">
        <v>62</v>
      </c>
      <c r="C28" s="194">
        <v>0.25</v>
      </c>
      <c r="D28" s="143"/>
      <c r="E28" s="147" t="s">
        <v>62</v>
      </c>
      <c r="F28" s="194">
        <v>-0.25</v>
      </c>
      <c r="G28" s="143"/>
      <c r="H28" s="143"/>
      <c r="I28" s="145"/>
      <c r="K28" s="154" t="s">
        <v>55</v>
      </c>
    </row>
    <row r="29" spans="1:11">
      <c r="A29" s="141"/>
      <c r="B29" s="147" t="s">
        <v>59</v>
      </c>
      <c r="C29" s="194">
        <v>0</v>
      </c>
      <c r="D29" s="143"/>
      <c r="E29" s="147" t="s">
        <v>59</v>
      </c>
      <c r="F29" s="194">
        <v>0</v>
      </c>
      <c r="G29" s="143"/>
      <c r="H29" s="143"/>
      <c r="I29" s="145"/>
      <c r="K29" s="155" t="s">
        <v>18</v>
      </c>
    </row>
    <row r="30" spans="1:11">
      <c r="A30" s="141"/>
      <c r="B30" s="147" t="s">
        <v>60</v>
      </c>
      <c r="C30" s="194">
        <v>0</v>
      </c>
      <c r="D30" s="143"/>
      <c r="E30" s="147" t="s">
        <v>60</v>
      </c>
      <c r="F30" s="194">
        <v>0</v>
      </c>
      <c r="G30" s="143"/>
      <c r="H30" s="143"/>
      <c r="I30" s="145"/>
      <c r="K30" s="155" t="s">
        <v>73</v>
      </c>
    </row>
    <row r="31" spans="1:11">
      <c r="A31" s="141"/>
      <c r="B31" s="147" t="s">
        <v>61</v>
      </c>
      <c r="C31" s="194">
        <v>0.25</v>
      </c>
      <c r="D31" s="143"/>
      <c r="E31" s="147" t="s">
        <v>61</v>
      </c>
      <c r="F31" s="194">
        <v>-0.25</v>
      </c>
      <c r="G31" s="143"/>
      <c r="H31" s="143"/>
      <c r="I31" s="145"/>
    </row>
    <row r="32" spans="1:11">
      <c r="A32" s="141"/>
      <c r="B32" s="147" t="s">
        <v>63</v>
      </c>
      <c r="C32" s="194">
        <v>0.15</v>
      </c>
      <c r="D32" s="143"/>
      <c r="E32" s="147" t="s">
        <v>63</v>
      </c>
      <c r="F32" s="194">
        <v>-0.15</v>
      </c>
      <c r="G32" s="143"/>
      <c r="H32" s="143"/>
      <c r="I32" s="145"/>
    </row>
    <row r="33" spans="1:9">
      <c r="A33" s="141"/>
      <c r="B33" s="147" t="s">
        <v>64</v>
      </c>
      <c r="C33" s="194">
        <v>0.15</v>
      </c>
      <c r="D33" s="143"/>
      <c r="E33" s="147" t="s">
        <v>64</v>
      </c>
      <c r="F33" s="194">
        <v>-0.15</v>
      </c>
      <c r="G33" s="143"/>
      <c r="H33" s="143"/>
      <c r="I33" s="145"/>
    </row>
    <row r="34" spans="1:9">
      <c r="A34" s="141"/>
      <c r="B34" s="147" t="s">
        <v>5</v>
      </c>
      <c r="C34" s="194">
        <v>-0.05</v>
      </c>
      <c r="D34" s="143"/>
      <c r="E34" s="147" t="s">
        <v>5</v>
      </c>
      <c r="F34" s="194">
        <v>0.05</v>
      </c>
      <c r="G34" s="143"/>
      <c r="H34" s="143"/>
      <c r="I34" s="145"/>
    </row>
    <row r="35" spans="1:9">
      <c r="A35" s="141"/>
      <c r="B35" s="147" t="s">
        <v>65</v>
      </c>
      <c r="C35" s="194">
        <v>0.25</v>
      </c>
      <c r="D35" s="143"/>
      <c r="E35" s="147" t="s">
        <v>65</v>
      </c>
      <c r="F35" s="194">
        <v>-0.25</v>
      </c>
      <c r="G35" s="143"/>
      <c r="H35" s="143"/>
      <c r="I35" s="145"/>
    </row>
    <row r="36" spans="1:9" ht="12.75" thickBot="1">
      <c r="A36" s="141"/>
      <c r="B36" s="152" t="s">
        <v>66</v>
      </c>
      <c r="C36" s="195">
        <v>-0.25</v>
      </c>
      <c r="D36" s="143"/>
      <c r="E36" s="152" t="s">
        <v>66</v>
      </c>
      <c r="F36" s="195">
        <v>0.25</v>
      </c>
      <c r="G36" s="143"/>
      <c r="H36" s="143"/>
      <c r="I36" s="145"/>
    </row>
    <row r="37" spans="1:9" ht="12.75" thickBot="1">
      <c r="A37" s="141"/>
      <c r="B37" s="143"/>
      <c r="C37" s="143"/>
      <c r="D37" s="143"/>
      <c r="E37" s="143"/>
      <c r="F37" s="143"/>
      <c r="G37" s="143"/>
      <c r="H37" s="143"/>
      <c r="I37" s="145"/>
    </row>
    <row r="38" spans="1:9">
      <c r="A38" s="141"/>
      <c r="B38" s="173" t="s">
        <v>95</v>
      </c>
      <c r="C38" s="174"/>
      <c r="D38" s="143"/>
      <c r="E38" s="173" t="s">
        <v>112</v>
      </c>
      <c r="F38" s="174"/>
      <c r="G38" s="143"/>
      <c r="H38" s="143"/>
      <c r="I38" s="145"/>
    </row>
    <row r="39" spans="1:9">
      <c r="A39" s="141"/>
      <c r="B39" s="147" t="s">
        <v>34</v>
      </c>
      <c r="C39" s="194">
        <v>0</v>
      </c>
      <c r="D39" s="143"/>
      <c r="E39" s="147" t="s">
        <v>34</v>
      </c>
      <c r="F39" s="194">
        <v>0</v>
      </c>
      <c r="G39" s="143"/>
      <c r="H39" s="143"/>
      <c r="I39" s="145"/>
    </row>
    <row r="40" spans="1:9">
      <c r="A40" s="141"/>
      <c r="B40" s="147" t="s">
        <v>35</v>
      </c>
      <c r="C40" s="194">
        <v>0</v>
      </c>
      <c r="D40" s="143"/>
      <c r="E40" s="147" t="s">
        <v>35</v>
      </c>
      <c r="F40" s="194">
        <v>0</v>
      </c>
      <c r="G40" s="143"/>
      <c r="H40" s="143"/>
      <c r="I40" s="145"/>
    </row>
    <row r="41" spans="1:9">
      <c r="A41" s="141"/>
      <c r="B41" s="147" t="s">
        <v>86</v>
      </c>
      <c r="C41" s="194">
        <v>0</v>
      </c>
      <c r="D41" s="143"/>
      <c r="E41" s="147" t="s">
        <v>86</v>
      </c>
      <c r="F41" s="194">
        <v>0</v>
      </c>
      <c r="G41" s="143"/>
      <c r="H41" s="143"/>
      <c r="I41" s="145"/>
    </row>
    <row r="42" spans="1:9">
      <c r="A42" s="141"/>
      <c r="B42" s="147" t="s">
        <v>6</v>
      </c>
      <c r="C42" s="194">
        <v>0.02</v>
      </c>
      <c r="D42" s="143"/>
      <c r="E42" s="147" t="s">
        <v>6</v>
      </c>
      <c r="F42" s="194">
        <v>-0.02</v>
      </c>
      <c r="G42" s="143"/>
      <c r="H42" s="143"/>
      <c r="I42" s="145"/>
    </row>
    <row r="43" spans="1:9">
      <c r="A43" s="141"/>
      <c r="B43" s="147" t="s">
        <v>19</v>
      </c>
      <c r="C43" s="194">
        <v>0.05</v>
      </c>
      <c r="D43" s="143"/>
      <c r="E43" s="147" t="s">
        <v>19</v>
      </c>
      <c r="F43" s="194">
        <v>-0.05</v>
      </c>
      <c r="G43" s="143"/>
      <c r="H43" s="143"/>
      <c r="I43" s="145"/>
    </row>
    <row r="44" spans="1:9" ht="12.75" thickBot="1">
      <c r="A44" s="141"/>
      <c r="B44" s="152" t="s">
        <v>85</v>
      </c>
      <c r="C44" s="195">
        <v>0</v>
      </c>
      <c r="D44" s="143"/>
      <c r="E44" s="152" t="s">
        <v>85</v>
      </c>
      <c r="F44" s="195">
        <v>0</v>
      </c>
      <c r="G44" s="143"/>
      <c r="H44" s="143"/>
      <c r="I44" s="145"/>
    </row>
    <row r="45" spans="1:9">
      <c r="A45" s="141"/>
      <c r="B45" s="147" t="s">
        <v>9</v>
      </c>
      <c r="C45" s="194">
        <v>0.25</v>
      </c>
      <c r="D45" s="143"/>
      <c r="E45" s="147" t="s">
        <v>9</v>
      </c>
      <c r="F45" s="194">
        <v>-0.25</v>
      </c>
      <c r="G45" s="143"/>
      <c r="H45" s="143"/>
      <c r="I45" s="145"/>
    </row>
    <row r="46" spans="1:9">
      <c r="A46" s="141"/>
      <c r="B46" s="147" t="s">
        <v>37</v>
      </c>
      <c r="C46" s="194">
        <v>0</v>
      </c>
      <c r="D46" s="143"/>
      <c r="E46" s="147" t="s">
        <v>37</v>
      </c>
      <c r="F46" s="194">
        <v>0</v>
      </c>
      <c r="G46" s="143"/>
      <c r="H46" s="143"/>
      <c r="I46" s="145"/>
    </row>
    <row r="47" spans="1:9">
      <c r="A47" s="141"/>
      <c r="B47" s="147" t="s">
        <v>21</v>
      </c>
      <c r="C47" s="194">
        <v>0</v>
      </c>
      <c r="D47" s="143"/>
      <c r="E47" s="147" t="s">
        <v>21</v>
      </c>
      <c r="F47" s="194">
        <v>0</v>
      </c>
      <c r="G47" s="143"/>
      <c r="H47" s="143"/>
      <c r="I47" s="145"/>
    </row>
    <row r="48" spans="1:9" ht="12.75" thickBot="1">
      <c r="A48" s="141"/>
      <c r="B48" s="152" t="s">
        <v>84</v>
      </c>
      <c r="C48" s="195">
        <v>0</v>
      </c>
      <c r="D48" s="143"/>
      <c r="E48" s="152" t="s">
        <v>84</v>
      </c>
      <c r="F48" s="195">
        <v>0</v>
      </c>
      <c r="G48" s="143"/>
      <c r="H48" s="143"/>
      <c r="I48" s="145"/>
    </row>
    <row r="49" spans="1:9">
      <c r="A49" s="141"/>
      <c r="B49" s="143"/>
      <c r="C49" s="143"/>
      <c r="D49" s="143"/>
      <c r="E49" s="143"/>
      <c r="F49" s="143"/>
      <c r="G49" s="143"/>
      <c r="H49" s="143"/>
      <c r="I49" s="145"/>
    </row>
    <row r="50" spans="1:9" ht="12.75" thickBot="1">
      <c r="A50" s="141"/>
      <c r="B50" s="143"/>
      <c r="C50" s="143"/>
      <c r="D50" s="143"/>
      <c r="E50" s="143"/>
      <c r="F50" s="143"/>
      <c r="G50" s="143"/>
      <c r="H50" s="143"/>
      <c r="I50" s="145"/>
    </row>
    <row r="51" spans="1:9" ht="12.75" thickBot="1">
      <c r="A51" s="141"/>
      <c r="B51" s="173" t="s">
        <v>71</v>
      </c>
      <c r="C51" s="174"/>
      <c r="D51" s="143"/>
      <c r="E51" s="143"/>
      <c r="F51" s="143"/>
      <c r="G51" s="143"/>
      <c r="H51" s="143"/>
      <c r="I51" s="145"/>
    </row>
    <row r="52" spans="1:9">
      <c r="A52" s="141"/>
      <c r="B52" s="156" t="s">
        <v>96</v>
      </c>
      <c r="C52" s="196">
        <v>0.3</v>
      </c>
      <c r="D52" s="143"/>
      <c r="E52" s="143"/>
      <c r="F52" s="143"/>
      <c r="G52" s="143"/>
      <c r="H52" s="143"/>
      <c r="I52" s="145"/>
    </row>
    <row r="53" spans="1:9">
      <c r="A53" s="141"/>
      <c r="B53" s="157" t="s">
        <v>97</v>
      </c>
      <c r="C53" s="197">
        <v>0.02</v>
      </c>
      <c r="D53" s="143"/>
      <c r="E53" s="143"/>
      <c r="F53" s="143"/>
      <c r="G53" s="143"/>
      <c r="H53" s="143"/>
      <c r="I53" s="145"/>
    </row>
    <row r="54" spans="1:9">
      <c r="A54" s="141"/>
      <c r="B54" s="157" t="s">
        <v>98</v>
      </c>
      <c r="C54" s="197">
        <v>0.1</v>
      </c>
      <c r="D54" s="143"/>
      <c r="E54" s="143"/>
      <c r="F54" s="143"/>
      <c r="G54" s="143"/>
      <c r="H54" s="143"/>
      <c r="I54" s="145"/>
    </row>
    <row r="55" spans="1:9" ht="12.75" thickBot="1">
      <c r="A55" s="141"/>
      <c r="B55" s="158" t="s">
        <v>99</v>
      </c>
      <c r="C55" s="198">
        <v>0.06</v>
      </c>
      <c r="D55" s="143"/>
      <c r="E55" s="143"/>
      <c r="F55" s="143"/>
      <c r="G55" s="143"/>
      <c r="H55" s="143"/>
      <c r="I55" s="145"/>
    </row>
    <row r="56" spans="1:9" ht="12.75" thickBot="1">
      <c r="A56" s="141"/>
      <c r="B56" s="143"/>
      <c r="C56" s="143"/>
      <c r="D56" s="143"/>
      <c r="E56" s="143"/>
      <c r="F56" s="143"/>
      <c r="G56" s="143"/>
      <c r="H56" s="143"/>
      <c r="I56" s="145"/>
    </row>
    <row r="57" spans="1:9">
      <c r="A57" s="141"/>
      <c r="B57" s="173" t="s">
        <v>31</v>
      </c>
      <c r="C57" s="175"/>
      <c r="D57" s="174"/>
      <c r="E57" s="143"/>
      <c r="F57" s="143"/>
      <c r="G57" s="143"/>
      <c r="H57" s="143"/>
      <c r="I57" s="145"/>
    </row>
    <row r="58" spans="1:9">
      <c r="A58" s="141"/>
      <c r="B58" s="159" t="s">
        <v>100</v>
      </c>
      <c r="C58" s="160">
        <v>1.5</v>
      </c>
      <c r="D58" s="161">
        <v>2</v>
      </c>
      <c r="E58" s="143"/>
      <c r="F58" s="143"/>
      <c r="G58" s="143"/>
      <c r="H58" s="143"/>
      <c r="I58" s="145"/>
    </row>
    <row r="59" spans="1:9">
      <c r="A59" s="141"/>
      <c r="B59" s="159" t="s">
        <v>101</v>
      </c>
      <c r="C59" s="160">
        <v>8</v>
      </c>
      <c r="D59" s="161">
        <v>10</v>
      </c>
      <c r="E59" s="143"/>
      <c r="F59" s="143"/>
      <c r="G59" s="143"/>
      <c r="H59" s="143"/>
      <c r="I59" s="145"/>
    </row>
    <row r="60" spans="1:9" ht="12.75" thickBot="1">
      <c r="A60" s="141"/>
      <c r="B60" s="162" t="s">
        <v>102</v>
      </c>
      <c r="C60" s="163">
        <v>12</v>
      </c>
      <c r="D60" s="164">
        <v>14</v>
      </c>
      <c r="E60" s="143"/>
      <c r="F60" s="143"/>
      <c r="G60" s="143"/>
      <c r="H60" s="143"/>
      <c r="I60" s="145"/>
    </row>
    <row r="61" spans="1:9">
      <c r="A61" s="141"/>
      <c r="B61" s="143"/>
      <c r="C61" s="143"/>
      <c r="D61" s="143"/>
      <c r="E61" s="143"/>
      <c r="F61" s="143"/>
      <c r="G61" s="143"/>
      <c r="H61" s="143"/>
      <c r="I61" s="145"/>
    </row>
    <row r="62" spans="1:9" ht="12.75" thickBot="1">
      <c r="A62" s="165"/>
      <c r="B62" s="166"/>
      <c r="C62" s="166"/>
      <c r="D62" s="166"/>
      <c r="E62" s="166"/>
      <c r="F62" s="166"/>
      <c r="G62" s="166"/>
      <c r="H62" s="166"/>
      <c r="I62" s="167"/>
    </row>
  </sheetData>
  <mergeCells count="10">
    <mergeCell ref="E2:E3"/>
    <mergeCell ref="B5:C5"/>
    <mergeCell ref="B26:C26"/>
    <mergeCell ref="E26:F26"/>
    <mergeCell ref="B57:D57"/>
    <mergeCell ref="B51:C51"/>
    <mergeCell ref="B17:C17"/>
    <mergeCell ref="E17:F17"/>
    <mergeCell ref="B38:C38"/>
    <mergeCell ref="E38:F38"/>
  </mergeCells>
  <dataValidations count="1">
    <dataValidation type="list" allowBlank="1" showInputMessage="1" showErrorMessage="1" sqref="F10">
      <formula1>$L$3:$L$5</formula1>
    </dataValidation>
  </dataValidations>
  <pageMargins left="0.70866141732283472" right="0.70866141732283472" top="0.74803149606299213" bottom="0.74803149606299213" header="0.31496062992125984" footer="0.31496062992125984"/>
  <pageSetup paperSize="9" scale="85" orientation="portrait" r:id="rId1"/>
  <ignoredErrors>
    <ignoredError sqref="F9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 codeName="Hoja6"/>
  <dimension ref="A1:U31"/>
  <sheetViews>
    <sheetView zoomScale="80" zoomScaleNormal="80" workbookViewId="0"/>
  </sheetViews>
  <sheetFormatPr baseColWidth="10" defaultRowHeight="15"/>
  <cols>
    <col min="1" max="1" width="4.5703125" style="92" customWidth="1"/>
    <col min="2" max="2" width="39.85546875" style="92" customWidth="1"/>
    <col min="3" max="3" width="16.140625" style="92" customWidth="1"/>
    <col min="4" max="8" width="11.42578125" style="92" customWidth="1"/>
    <col min="9" max="9" width="7.7109375" style="92" customWidth="1"/>
    <col min="10" max="20" width="9.85546875" style="92" customWidth="1"/>
    <col min="21" max="16384" width="11.42578125" style="92"/>
  </cols>
  <sheetData>
    <row r="1" spans="1:21" ht="15.75" thickBot="1">
      <c r="A1" s="89"/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1"/>
    </row>
    <row r="2" spans="1:21" ht="15.75" thickBot="1">
      <c r="A2" s="93"/>
      <c r="B2" s="22" t="s">
        <v>24</v>
      </c>
      <c r="C2" s="94"/>
      <c r="D2" s="176" t="s">
        <v>25</v>
      </c>
      <c r="E2" s="177"/>
      <c r="F2" s="177"/>
      <c r="G2" s="177"/>
      <c r="H2" s="178"/>
      <c r="I2" s="94"/>
      <c r="J2" s="179" t="s">
        <v>103</v>
      </c>
      <c r="K2" s="180"/>
      <c r="L2" s="180"/>
      <c r="M2" s="180"/>
      <c r="N2" s="181"/>
      <c r="O2" s="94"/>
      <c r="P2" s="179" t="s">
        <v>104</v>
      </c>
      <c r="Q2" s="180"/>
      <c r="R2" s="180"/>
      <c r="S2" s="180"/>
      <c r="T2" s="181"/>
      <c r="U2" s="95"/>
    </row>
    <row r="3" spans="1:21" ht="30.75" customHeight="1" thickBot="1">
      <c r="A3" s="93"/>
      <c r="B3" s="96" t="str">
        <f>'Supuestos Iniciales_n'!F10</f>
        <v>Millones de Euros</v>
      </c>
      <c r="C3" s="116" t="str">
        <f>'Supuestos Iniciales_n'!F9</f>
        <v>2009</v>
      </c>
      <c r="D3" s="107">
        <f>C3+1</f>
        <v>2010</v>
      </c>
      <c r="E3" s="107">
        <f t="shared" ref="E3:H3" si="0">D3+1</f>
        <v>2011</v>
      </c>
      <c r="F3" s="107">
        <f t="shared" si="0"/>
        <v>2012</v>
      </c>
      <c r="G3" s="107">
        <f t="shared" si="0"/>
        <v>2013</v>
      </c>
      <c r="H3" s="107">
        <f t="shared" si="0"/>
        <v>2014</v>
      </c>
      <c r="I3" s="94"/>
      <c r="J3" s="107">
        <f>D3</f>
        <v>2010</v>
      </c>
      <c r="K3" s="107">
        <f t="shared" ref="K3:N3" si="1">E3</f>
        <v>2011</v>
      </c>
      <c r="L3" s="107">
        <f t="shared" si="1"/>
        <v>2012</v>
      </c>
      <c r="M3" s="107">
        <f t="shared" si="1"/>
        <v>2013</v>
      </c>
      <c r="N3" s="107">
        <f t="shared" si="1"/>
        <v>2014</v>
      </c>
      <c r="O3" s="94"/>
      <c r="P3" s="107">
        <f>D3</f>
        <v>2010</v>
      </c>
      <c r="Q3" s="107">
        <f t="shared" ref="Q3:T3" si="2">E3</f>
        <v>2011</v>
      </c>
      <c r="R3" s="107">
        <f t="shared" si="2"/>
        <v>2012</v>
      </c>
      <c r="S3" s="107">
        <f t="shared" si="2"/>
        <v>2013</v>
      </c>
      <c r="T3" s="107">
        <f t="shared" si="2"/>
        <v>2014</v>
      </c>
      <c r="U3" s="95"/>
    </row>
    <row r="4" spans="1:21" ht="15.75" thickBot="1">
      <c r="A4" s="93"/>
      <c r="B4" s="48" t="s">
        <v>4</v>
      </c>
      <c r="C4" s="18">
        <f t="shared" ref="C4:H4" si="3">C6+C11</f>
        <v>34594.699999999997</v>
      </c>
      <c r="D4" s="18">
        <f t="shared" si="3"/>
        <v>35480.675000000003</v>
      </c>
      <c r="E4" s="18">
        <f t="shared" si="3"/>
        <v>36431.761250000003</v>
      </c>
      <c r="F4" s="18">
        <f t="shared" si="3"/>
        <v>37453.526232500008</v>
      </c>
      <c r="G4" s="18">
        <f t="shared" si="3"/>
        <v>38552.032652825001</v>
      </c>
      <c r="H4" s="18">
        <f t="shared" si="3"/>
        <v>39733.882892167254</v>
      </c>
      <c r="I4" s="94"/>
      <c r="J4" s="18">
        <f>J6+J11</f>
        <v>37530.556249999994</v>
      </c>
      <c r="K4" s="18">
        <f>K6+K11</f>
        <v>38666.131812499996</v>
      </c>
      <c r="L4" s="18">
        <f>L6+L11</f>
        <v>39888.990145625008</v>
      </c>
      <c r="M4" s="18">
        <f>M6+M11</f>
        <v>41206.688318131259</v>
      </c>
      <c r="N4" s="18">
        <f>N6+N11</f>
        <v>42627.45756735107</v>
      </c>
      <c r="O4" s="94"/>
      <c r="P4" s="18">
        <f>P6+P11</f>
        <v>33430.793750000004</v>
      </c>
      <c r="Q4" s="18">
        <f>Q6+Q11</f>
        <v>34197.390687500003</v>
      </c>
      <c r="R4" s="18">
        <f>R6+R11</f>
        <v>35018.062319375007</v>
      </c>
      <c r="S4" s="18">
        <f>S6+S11</f>
        <v>35897.376987518757</v>
      </c>
      <c r="T4" s="18">
        <f>T6+T11</f>
        <v>36840.308216983438</v>
      </c>
      <c r="U4" s="95"/>
    </row>
    <row r="5" spans="1:21" ht="15.75" thickBot="1">
      <c r="A5" s="93"/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5"/>
    </row>
    <row r="6" spans="1:21">
      <c r="A6" s="93"/>
      <c r="B6" s="35" t="s">
        <v>33</v>
      </c>
      <c r="C6" s="43">
        <f>+C7+C8+C9+C10</f>
        <v>17738.400000000001</v>
      </c>
      <c r="D6" s="43">
        <f t="shared" ref="D6:H6" si="4">+D7+D8+D9+D10</f>
        <v>17474.575000000001</v>
      </c>
      <c r="E6" s="43">
        <f t="shared" si="4"/>
        <v>17193.972849999998</v>
      </c>
      <c r="F6" s="43">
        <f t="shared" si="4"/>
        <v>16895.6829745</v>
      </c>
      <c r="G6" s="43">
        <f t="shared" si="4"/>
        <v>16578.747834865</v>
      </c>
      <c r="H6" s="36">
        <f t="shared" si="4"/>
        <v>16242.160552481051</v>
      </c>
      <c r="I6" s="94"/>
      <c r="J6" s="35">
        <f t="shared" ref="J6" si="5">+J7+J8+J9+J10</f>
        <v>17493.742750000001</v>
      </c>
      <c r="K6" s="43">
        <f t="shared" ref="K6" si="6">+K7+K8+K9+K10</f>
        <v>17233.266737500002</v>
      </c>
      <c r="L6" s="43">
        <f t="shared" ref="L6" si="7">+L7+L8+L9+L10</f>
        <v>16956.109306375001</v>
      </c>
      <c r="M6" s="43">
        <f t="shared" ref="M6" si="8">+M7+M8+M9+M10</f>
        <v>16661.363233333752</v>
      </c>
      <c r="N6" s="36">
        <f t="shared" ref="N6" si="9">+N7+N8+N9+N10</f>
        <v>16348.074470873238</v>
      </c>
      <c r="O6" s="94"/>
      <c r="P6" s="35">
        <f t="shared" ref="P6" si="10">+P7+P8+P9+P10</f>
        <v>17493.742750000001</v>
      </c>
      <c r="Q6" s="43">
        <f t="shared" ref="Q6" si="11">+Q7+Q8+Q9+Q10</f>
        <v>17233.266737500002</v>
      </c>
      <c r="R6" s="43">
        <f t="shared" ref="R6" si="12">+R7+R8+R9+R10</f>
        <v>16956.109306375001</v>
      </c>
      <c r="S6" s="43">
        <f t="shared" ref="S6" si="13">+S7+S8+S9+S10</f>
        <v>16661.363233333752</v>
      </c>
      <c r="T6" s="36">
        <f t="shared" ref="T6" si="14">+T7+T8+T9+T10</f>
        <v>16348.074470873238</v>
      </c>
      <c r="U6" s="95"/>
    </row>
    <row r="7" spans="1:21">
      <c r="A7" s="93"/>
      <c r="B7" s="37" t="s">
        <v>34</v>
      </c>
      <c r="C7" s="49">
        <v>1575.2</v>
      </c>
      <c r="D7" s="44">
        <f>C7*(1+'Supuestos Iniciales_n'!$C$18)</f>
        <v>1575.2</v>
      </c>
      <c r="E7" s="44">
        <f>D7*(1+'Supuestos Iniciales_n'!$C$18)</f>
        <v>1575.2</v>
      </c>
      <c r="F7" s="44">
        <f>E7*(1+'Supuestos Iniciales_n'!$C$18)</f>
        <v>1575.2</v>
      </c>
      <c r="G7" s="44">
        <f>F7*(1+'Supuestos Iniciales_n'!$C$18)</f>
        <v>1575.2</v>
      </c>
      <c r="H7" s="38">
        <f>G7*(1+'Supuestos Iniciales_n'!$C$18)</f>
        <v>1575.2</v>
      </c>
      <c r="I7" s="94"/>
      <c r="J7" s="50">
        <f>D7*(1+'Supuestos Iniciales_n'!$C$39)</f>
        <v>1575.2</v>
      </c>
      <c r="K7" s="44">
        <f>E7*(1+'Supuestos Iniciales_n'!$C$39)</f>
        <v>1575.2</v>
      </c>
      <c r="L7" s="44">
        <f>F7*(1+'Supuestos Iniciales_n'!$C$39)</f>
        <v>1575.2</v>
      </c>
      <c r="M7" s="44">
        <f>G7*(1+'Supuestos Iniciales_n'!$C$39)</f>
        <v>1575.2</v>
      </c>
      <c r="N7" s="38">
        <f>H7*(1+'Supuestos Iniciales_n'!$C$39)</f>
        <v>1575.2</v>
      </c>
      <c r="O7" s="94"/>
      <c r="P7" s="50">
        <f>D7*(1+'Supuestos Iniciales_n'!$F$39)</f>
        <v>1575.2</v>
      </c>
      <c r="Q7" s="44">
        <f>E7*(1+'Supuestos Iniciales_n'!$F$39)</f>
        <v>1575.2</v>
      </c>
      <c r="R7" s="44">
        <f>F7*(1+'Supuestos Iniciales_n'!$F$39)</f>
        <v>1575.2</v>
      </c>
      <c r="S7" s="44">
        <f>G7*(1+'Supuestos Iniciales_n'!$F$39)</f>
        <v>1575.2</v>
      </c>
      <c r="T7" s="38">
        <f>H7*(1+'Supuestos Iniciales_n'!$F$39)</f>
        <v>1575.2</v>
      </c>
      <c r="U7" s="95"/>
    </row>
    <row r="8" spans="1:21">
      <c r="A8" s="93"/>
      <c r="B8" s="37" t="s">
        <v>35</v>
      </c>
      <c r="C8" s="49">
        <v>5976.5</v>
      </c>
      <c r="D8" s="44">
        <f>C8*(1+'Supuestos Iniciales_n'!$C$19)</f>
        <v>6096.03</v>
      </c>
      <c r="E8" s="44">
        <f>D8*(1+'Supuestos Iniciales_n'!$C$19)</f>
        <v>6217.9506000000001</v>
      </c>
      <c r="F8" s="44">
        <f>E8*(1+'Supuestos Iniciales_n'!$C$19)</f>
        <v>6342.309612</v>
      </c>
      <c r="G8" s="44">
        <f>F8*(1+'Supuestos Iniciales_n'!$C$19)</f>
        <v>6469.1558042400002</v>
      </c>
      <c r="H8" s="38">
        <f>G8*(1+'Supuestos Iniciales_n'!$C$19)</f>
        <v>6598.5389203248005</v>
      </c>
      <c r="I8" s="94"/>
      <c r="J8" s="50">
        <f>D8*(1+'Supuestos Iniciales_n'!$C$40)</f>
        <v>6096.03</v>
      </c>
      <c r="K8" s="44">
        <f>E8*(1+'Supuestos Iniciales_n'!$C$40)</f>
        <v>6217.9506000000001</v>
      </c>
      <c r="L8" s="44">
        <f>F8*(1+'Supuestos Iniciales_n'!$C$40)</f>
        <v>6342.309612</v>
      </c>
      <c r="M8" s="44">
        <f>G8*(1+'Supuestos Iniciales_n'!$C$40)</f>
        <v>6469.1558042400002</v>
      </c>
      <c r="N8" s="38">
        <f>H8*(1+'Supuestos Iniciales_n'!$C$40)</f>
        <v>6598.5389203248005</v>
      </c>
      <c r="O8" s="94"/>
      <c r="P8" s="50">
        <f>D8*(1+'Supuestos Iniciales_n'!$F$40)</f>
        <v>6096.03</v>
      </c>
      <c r="Q8" s="44">
        <f>E8*(1+'Supuestos Iniciales_n'!$F$40)</f>
        <v>6217.9506000000001</v>
      </c>
      <c r="R8" s="44">
        <f>F8*(1+'Supuestos Iniciales_n'!$F$40)</f>
        <v>6342.309612</v>
      </c>
      <c r="S8" s="44">
        <f>G8*(1+'Supuestos Iniciales_n'!$F$40)</f>
        <v>6469.1558042400002</v>
      </c>
      <c r="T8" s="38">
        <f>H8*(1+'Supuestos Iniciales_n'!$F$40)</f>
        <v>6598.5389203248005</v>
      </c>
      <c r="U8" s="95"/>
    </row>
    <row r="9" spans="1:21">
      <c r="A9" s="93"/>
      <c r="B9" s="86" t="s">
        <v>74</v>
      </c>
      <c r="C9" s="49">
        <v>0</v>
      </c>
      <c r="D9" s="44">
        <f>C9-PyG_5n!D12</f>
        <v>-383.35500000000002</v>
      </c>
      <c r="E9" s="44">
        <f>D9-PyG_5n!E12</f>
        <v>-785.87775000000011</v>
      </c>
      <c r="F9" s="44">
        <f>E9-PyG_5n!F12</f>
        <v>-1208.5266375000001</v>
      </c>
      <c r="G9" s="44">
        <f>F9-PyG_5n!G12</f>
        <v>-1652.3079693750001</v>
      </c>
      <c r="H9" s="38">
        <f>G9-PyG_5n!H12</f>
        <v>-2118.2783678437499</v>
      </c>
      <c r="I9" s="94"/>
      <c r="J9" s="50">
        <f>C9-PyG_5n!D31</f>
        <v>-364.18725000000001</v>
      </c>
      <c r="K9" s="44">
        <f>J9-PyG_5n!E31</f>
        <v>-746.58386250000001</v>
      </c>
      <c r="L9" s="44">
        <f>K9-PyG_5n!F31</f>
        <v>-1148.1003056250001</v>
      </c>
      <c r="M9" s="44">
        <f>L9-PyG_5n!G31</f>
        <v>-1569.6925709062502</v>
      </c>
      <c r="N9" s="38">
        <f>M9-PyG_5n!H31</f>
        <v>-2012.3644494515629</v>
      </c>
      <c r="O9" s="94"/>
      <c r="P9" s="50">
        <f>C9-PyG_5n!D31</f>
        <v>-364.18725000000001</v>
      </c>
      <c r="Q9" s="44">
        <f>P9-PyG_5n!E31</f>
        <v>-746.58386250000001</v>
      </c>
      <c r="R9" s="44">
        <f>Q9-PyG_5n!F31</f>
        <v>-1148.1003056250001</v>
      </c>
      <c r="S9" s="44">
        <f>R9-PyG_5n!G31</f>
        <v>-1569.6925709062502</v>
      </c>
      <c r="T9" s="38">
        <f>S9-PyG_5n!H31</f>
        <v>-2012.3644494515629</v>
      </c>
      <c r="U9" s="95"/>
    </row>
    <row r="10" spans="1:21">
      <c r="A10" s="93"/>
      <c r="B10" s="37" t="s">
        <v>86</v>
      </c>
      <c r="C10" s="49">
        <v>10186.700000000001</v>
      </c>
      <c r="D10" s="44">
        <f>C10*(1+'Supuestos Iniciales_n'!$C$20)</f>
        <v>10186.700000000001</v>
      </c>
      <c r="E10" s="44">
        <f>D10*(1+'Supuestos Iniciales_n'!$C$20)</f>
        <v>10186.700000000001</v>
      </c>
      <c r="F10" s="44">
        <f>E10*(1+'Supuestos Iniciales_n'!$C$20)</f>
        <v>10186.700000000001</v>
      </c>
      <c r="G10" s="44">
        <f>F10*(1+'Supuestos Iniciales_n'!$C$20)</f>
        <v>10186.700000000001</v>
      </c>
      <c r="H10" s="38">
        <f>G10*(1+'Supuestos Iniciales_n'!$C$20)</f>
        <v>10186.700000000001</v>
      </c>
      <c r="I10" s="94"/>
      <c r="J10" s="50">
        <f>D10*(1+'Supuestos Iniciales_n'!$C$41)</f>
        <v>10186.700000000001</v>
      </c>
      <c r="K10" s="44">
        <f>E10*(1+'Supuestos Iniciales_n'!$C$41)</f>
        <v>10186.700000000001</v>
      </c>
      <c r="L10" s="44">
        <f>F10*(1+'Supuestos Iniciales_n'!$C$41)</f>
        <v>10186.700000000001</v>
      </c>
      <c r="M10" s="44">
        <f>G10*(1+'Supuestos Iniciales_n'!$C$41)</f>
        <v>10186.700000000001</v>
      </c>
      <c r="N10" s="38">
        <f>H10*(1+'Supuestos Iniciales_n'!$C$41)</f>
        <v>10186.700000000001</v>
      </c>
      <c r="O10" s="94"/>
      <c r="P10" s="50">
        <f>D10*(1+'Supuestos Iniciales_n'!$F$41)</f>
        <v>10186.700000000001</v>
      </c>
      <c r="Q10" s="44">
        <f>E10*(1+'Supuestos Iniciales_n'!$F$41)</f>
        <v>10186.700000000001</v>
      </c>
      <c r="R10" s="44">
        <f>F10*(1+'Supuestos Iniciales_n'!$F$41)</f>
        <v>10186.700000000001</v>
      </c>
      <c r="S10" s="44">
        <f>G10*(1+'Supuestos Iniciales_n'!$F$41)</f>
        <v>10186.700000000001</v>
      </c>
      <c r="T10" s="38">
        <f>H10*(1+'Supuestos Iniciales_n'!$F$41)</f>
        <v>10186.700000000001</v>
      </c>
      <c r="U10" s="95"/>
    </row>
    <row r="11" spans="1:21">
      <c r="A11" s="93"/>
      <c r="B11" s="39" t="s">
        <v>36</v>
      </c>
      <c r="C11" s="45">
        <f>SUM(C12:C15)</f>
        <v>16856.3</v>
      </c>
      <c r="D11" s="45">
        <f>SUM(D12:D15)</f>
        <v>18006.100000000006</v>
      </c>
      <c r="E11" s="45">
        <f t="shared" ref="E11:H11" si="15">SUM(E12:E15)</f>
        <v>19237.788400000005</v>
      </c>
      <c r="F11" s="45">
        <f t="shared" si="15"/>
        <v>20557.843258000004</v>
      </c>
      <c r="G11" s="45">
        <f t="shared" si="15"/>
        <v>21973.284817960004</v>
      </c>
      <c r="H11" s="40">
        <f t="shared" si="15"/>
        <v>23491.722339686199</v>
      </c>
      <c r="I11" s="94"/>
      <c r="J11" s="39">
        <f>SUM(J12:J15)</f>
        <v>20036.813499999997</v>
      </c>
      <c r="K11" s="45">
        <f t="shared" ref="K11:N11" si="16">SUM(K12:K15)</f>
        <v>21432.865074999998</v>
      </c>
      <c r="L11" s="45">
        <f t="shared" si="16"/>
        <v>22932.880839250003</v>
      </c>
      <c r="M11" s="45">
        <f t="shared" si="16"/>
        <v>24545.325084797503</v>
      </c>
      <c r="N11" s="40">
        <f t="shared" si="16"/>
        <v>26279.383096477828</v>
      </c>
      <c r="O11" s="94"/>
      <c r="P11" s="39">
        <f>SUM(P12:P15)</f>
        <v>15937.051000000003</v>
      </c>
      <c r="Q11" s="45">
        <f t="shared" ref="Q11:T11" si="17">SUM(Q12:Q15)</f>
        <v>16964.123950000001</v>
      </c>
      <c r="R11" s="45">
        <f t="shared" si="17"/>
        <v>18061.953013000006</v>
      </c>
      <c r="S11" s="45">
        <f t="shared" si="17"/>
        <v>19236.013754185005</v>
      </c>
      <c r="T11" s="40">
        <f t="shared" si="17"/>
        <v>20492.233746110203</v>
      </c>
      <c r="U11" s="95"/>
    </row>
    <row r="12" spans="1:21">
      <c r="A12" s="93"/>
      <c r="B12" s="37" t="s">
        <v>6</v>
      </c>
      <c r="C12" s="49">
        <v>657.8</v>
      </c>
      <c r="D12" s="44">
        <f>C12*(1+'Supuestos Iniciales_n'!$C$21)</f>
        <v>670.95600000000002</v>
      </c>
      <c r="E12" s="44">
        <f>D12*(1+'Supuestos Iniciales_n'!$C$21)</f>
        <v>684.37512000000004</v>
      </c>
      <c r="F12" s="44">
        <f>E12*(1+'Supuestos Iniciales_n'!$C$21)</f>
        <v>698.06262240000001</v>
      </c>
      <c r="G12" s="44">
        <f>F12*(1+'Supuestos Iniciales_n'!$C$21)</f>
        <v>712.02387484799999</v>
      </c>
      <c r="H12" s="38">
        <f>G12*(1+'Supuestos Iniciales_n'!$C$21)</f>
        <v>726.26435234496</v>
      </c>
      <c r="I12" s="94"/>
      <c r="J12" s="50">
        <f>D12*(1+'Supuestos Iniciales_n'!$C$42)</f>
        <v>684.37512000000004</v>
      </c>
      <c r="K12" s="44">
        <f>E12*(1+'Supuestos Iniciales_n'!$C$42)</f>
        <v>698.06262240000001</v>
      </c>
      <c r="L12" s="44">
        <f>F12*(1+'Supuestos Iniciales_n'!$C$42)</f>
        <v>712.02387484799999</v>
      </c>
      <c r="M12" s="44">
        <f>G12*(1+'Supuestos Iniciales_n'!$C$42)</f>
        <v>726.26435234496</v>
      </c>
      <c r="N12" s="38">
        <f>H12*(1+'Supuestos Iniciales_n'!$C$42)</f>
        <v>740.78963939185917</v>
      </c>
      <c r="O12" s="94"/>
      <c r="P12" s="50">
        <f>D12*(1+'Supuestos Iniciales_n'!$F$42)</f>
        <v>657.53688</v>
      </c>
      <c r="Q12" s="44">
        <f>E12*(1+'Supuestos Iniciales_n'!$F$42)</f>
        <v>670.68761760000007</v>
      </c>
      <c r="R12" s="44">
        <f>F12*(1+'Supuestos Iniciales_n'!$F$42)</f>
        <v>684.10136995200003</v>
      </c>
      <c r="S12" s="44">
        <f>G12*(1+'Supuestos Iniciales_n'!$F$42)</f>
        <v>697.78339735103998</v>
      </c>
      <c r="T12" s="38">
        <f>H12*(1+'Supuestos Iniciales_n'!$F$42)</f>
        <v>711.73906529806084</v>
      </c>
      <c r="U12" s="95"/>
    </row>
    <row r="13" spans="1:21">
      <c r="A13" s="93"/>
      <c r="B13" s="37" t="s">
        <v>19</v>
      </c>
      <c r="C13" s="49">
        <v>7261.2</v>
      </c>
      <c r="D13" s="44">
        <f>C13*(1+'Supuestos Iniciales_n'!$C$22)</f>
        <v>7261.2</v>
      </c>
      <c r="E13" s="44">
        <f>D13*(1+'Supuestos Iniciales_n'!$C$22)</f>
        <v>7261.2</v>
      </c>
      <c r="F13" s="44">
        <f>E13*(1+'Supuestos Iniciales_n'!$C$22)</f>
        <v>7261.2</v>
      </c>
      <c r="G13" s="44">
        <f>F13*(1+'Supuestos Iniciales_n'!$C$22)</f>
        <v>7261.2</v>
      </c>
      <c r="H13" s="38">
        <f>G13*(1+'Supuestos Iniciales_n'!$C$22)</f>
        <v>7261.2</v>
      </c>
      <c r="I13" s="94"/>
      <c r="J13" s="50">
        <f>D13*(1+'Supuestos Iniciales_n'!$C$43)</f>
        <v>7624.26</v>
      </c>
      <c r="K13" s="44">
        <f>E13*(1+'Supuestos Iniciales_n'!$C$43)</f>
        <v>7624.26</v>
      </c>
      <c r="L13" s="44">
        <f>F13*(1+'Supuestos Iniciales_n'!$C$43)</f>
        <v>7624.26</v>
      </c>
      <c r="M13" s="44">
        <f>G13*(1+'Supuestos Iniciales_n'!$C$43)</f>
        <v>7624.26</v>
      </c>
      <c r="N13" s="38">
        <f>H13*(1+'Supuestos Iniciales_n'!$C$43)</f>
        <v>7624.26</v>
      </c>
      <c r="O13" s="94"/>
      <c r="P13" s="50">
        <f>D13*(1+'Supuestos Iniciales_n'!$F$43)</f>
        <v>6898.1399999999994</v>
      </c>
      <c r="Q13" s="44">
        <f>E13*(1+'Supuestos Iniciales_n'!$F$43)</f>
        <v>6898.1399999999994</v>
      </c>
      <c r="R13" s="44">
        <f>F13*(1+'Supuestos Iniciales_n'!$F$43)</f>
        <v>6898.1399999999994</v>
      </c>
      <c r="S13" s="44">
        <f>G13*(1+'Supuestos Iniciales_n'!$F$43)</f>
        <v>6898.1399999999994</v>
      </c>
      <c r="T13" s="38">
        <f>H13*(1+'Supuestos Iniciales_n'!$F$43)</f>
        <v>6898.1399999999994</v>
      </c>
      <c r="U13" s="95"/>
    </row>
    <row r="14" spans="1:21">
      <c r="A14" s="93"/>
      <c r="B14" s="37" t="s">
        <v>85</v>
      </c>
      <c r="C14" s="51">
        <v>3889.8</v>
      </c>
      <c r="D14" s="44">
        <f>C14*(1+'Supuestos Iniciales_n'!$C$23)</f>
        <v>3889.8</v>
      </c>
      <c r="E14" s="44">
        <f>D14*(1+'Supuestos Iniciales_n'!$C$23)</f>
        <v>3889.8</v>
      </c>
      <c r="F14" s="44">
        <f>E14*(1+'Supuestos Iniciales_n'!$C$23)</f>
        <v>3889.8</v>
      </c>
      <c r="G14" s="44">
        <f>F14*(1+'Supuestos Iniciales_n'!$C$23)</f>
        <v>3889.8</v>
      </c>
      <c r="H14" s="38">
        <f>G14*(1+'Supuestos Iniciales_n'!$C$23)</f>
        <v>3889.8</v>
      </c>
      <c r="I14" s="94"/>
      <c r="J14" s="50">
        <f>D14*(1+'Supuestos Iniciales_n'!$C$44)</f>
        <v>3889.8</v>
      </c>
      <c r="K14" s="44">
        <f>E14*(1+'Supuestos Iniciales_n'!$C$44)</f>
        <v>3889.8</v>
      </c>
      <c r="L14" s="44">
        <f>F14*(1+'Supuestos Iniciales_n'!$C$44)</f>
        <v>3889.8</v>
      </c>
      <c r="M14" s="44">
        <f>G14*(1+'Supuestos Iniciales_n'!$C$44)</f>
        <v>3889.8</v>
      </c>
      <c r="N14" s="38">
        <f>H14*(1+'Supuestos Iniciales_n'!$C$44)</f>
        <v>3889.8</v>
      </c>
      <c r="O14" s="94"/>
      <c r="P14" s="50">
        <f>D14*(1+'Supuestos Iniciales_n'!$F$44)</f>
        <v>3889.8</v>
      </c>
      <c r="Q14" s="44">
        <f>E14*(1+'Supuestos Iniciales_n'!$F$44)</f>
        <v>3889.8</v>
      </c>
      <c r="R14" s="44">
        <f>F14*(1+'Supuestos Iniciales_n'!$F$44)</f>
        <v>3889.8</v>
      </c>
      <c r="S14" s="44">
        <f>G14*(1+'Supuestos Iniciales_n'!$F$44)</f>
        <v>3889.8</v>
      </c>
      <c r="T14" s="38">
        <f>H14*(1+'Supuestos Iniciales_n'!$F$44)</f>
        <v>3889.8</v>
      </c>
      <c r="U14" s="95"/>
    </row>
    <row r="15" spans="1:21" ht="15.75" thickBot="1">
      <c r="A15" s="93"/>
      <c r="B15" s="46" t="s">
        <v>7</v>
      </c>
      <c r="C15" s="52">
        <v>5047.5</v>
      </c>
      <c r="D15" s="47">
        <f>D18-D14-D13-D12-D6</f>
        <v>6184.1440000000039</v>
      </c>
      <c r="E15" s="47">
        <f t="shared" ref="E15:H15" si="18">E18-E14-E13-E12-E6</f>
        <v>7402.4132800000043</v>
      </c>
      <c r="F15" s="47">
        <f t="shared" si="18"/>
        <v>8708.7806356000037</v>
      </c>
      <c r="G15" s="47">
        <f t="shared" si="18"/>
        <v>10110.260943112004</v>
      </c>
      <c r="H15" s="42">
        <f t="shared" si="18"/>
        <v>11614.45798734124</v>
      </c>
      <c r="I15" s="94"/>
      <c r="J15" s="41">
        <f>J18-J14-J13-J12-J6</f>
        <v>7838.3783799999946</v>
      </c>
      <c r="K15" s="47">
        <f t="shared" ref="K15:N15" si="19">K18-K14-K13-K12-K6</f>
        <v>9220.7424525999959</v>
      </c>
      <c r="L15" s="47">
        <f t="shared" si="19"/>
        <v>10706.796964402001</v>
      </c>
      <c r="M15" s="47">
        <f t="shared" si="19"/>
        <v>12305.000732452543</v>
      </c>
      <c r="N15" s="42">
        <f t="shared" si="19"/>
        <v>14024.533457085967</v>
      </c>
      <c r="O15" s="94"/>
      <c r="P15" s="41">
        <f>P18-P14-P13-P12-P6</f>
        <v>4491.5741200000048</v>
      </c>
      <c r="Q15" s="47">
        <f t="shared" ref="Q15:T15" si="20">Q18-Q14-Q13-Q12-Q6</f>
        <v>5505.4963324000018</v>
      </c>
      <c r="R15" s="47">
        <f t="shared" si="20"/>
        <v>6589.9116430480062</v>
      </c>
      <c r="S15" s="47">
        <f t="shared" si="20"/>
        <v>7750.290356833968</v>
      </c>
      <c r="T15" s="42">
        <f t="shared" si="20"/>
        <v>8992.5546808121435</v>
      </c>
      <c r="U15" s="95"/>
    </row>
    <row r="16" spans="1:21">
      <c r="A16" s="93"/>
      <c r="B16" s="94"/>
      <c r="C16" s="94"/>
      <c r="D16" s="94"/>
      <c r="E16" s="94"/>
      <c r="F16" s="94"/>
      <c r="G16" s="94"/>
      <c r="H16" s="94"/>
      <c r="I16" s="94"/>
      <c r="J16" s="94"/>
      <c r="K16" s="94"/>
      <c r="L16" s="94"/>
      <c r="M16" s="94"/>
      <c r="N16" s="94"/>
      <c r="O16" s="94"/>
      <c r="P16" s="94"/>
      <c r="Q16" s="94"/>
      <c r="R16" s="94"/>
      <c r="S16" s="94"/>
      <c r="T16" s="94"/>
      <c r="U16" s="95"/>
    </row>
    <row r="17" spans="1:21" ht="15.75" thickBot="1">
      <c r="A17" s="93"/>
      <c r="B17" s="94"/>
      <c r="C17" s="94"/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4"/>
      <c r="O17" s="94"/>
      <c r="P17" s="94"/>
      <c r="Q17" s="94"/>
      <c r="R17" s="94"/>
      <c r="S17" s="94"/>
      <c r="T17" s="94"/>
      <c r="U17" s="95"/>
    </row>
    <row r="18" spans="1:21" ht="15.75" thickBot="1">
      <c r="A18" s="93"/>
      <c r="B18" s="18" t="s">
        <v>83</v>
      </c>
      <c r="C18" s="18">
        <f>C20+C21+C22</f>
        <v>34594.699999999997</v>
      </c>
      <c r="D18" s="18">
        <f>D20+D21+D22</f>
        <v>35480.675000000003</v>
      </c>
      <c r="E18" s="18">
        <f>E20+E21+E22</f>
        <v>36431.761250000003</v>
      </c>
      <c r="F18" s="18">
        <f t="shared" ref="F18:H18" si="21">F20+F21+F22</f>
        <v>37453.526232500008</v>
      </c>
      <c r="G18" s="18">
        <f t="shared" si="21"/>
        <v>38552.032652825008</v>
      </c>
      <c r="H18" s="18">
        <f t="shared" si="21"/>
        <v>39733.882892167254</v>
      </c>
      <c r="I18" s="94"/>
      <c r="J18" s="18">
        <f>J20+J21+J22</f>
        <v>37530.556250000001</v>
      </c>
      <c r="K18" s="18">
        <f>K20+K21+K22</f>
        <v>38666.131812500003</v>
      </c>
      <c r="L18" s="18">
        <f>L20+L21+L22</f>
        <v>39888.990145625008</v>
      </c>
      <c r="M18" s="18">
        <f>M20+M21+M22</f>
        <v>41206.688318131259</v>
      </c>
      <c r="N18" s="18">
        <f>N20+N21+N22</f>
        <v>42627.45756735107</v>
      </c>
      <c r="O18" s="94"/>
      <c r="P18" s="18">
        <f>P20+P21+P22</f>
        <v>33430.793750000004</v>
      </c>
      <c r="Q18" s="18">
        <f>Q20+Q21+Q22</f>
        <v>34197.390687500003</v>
      </c>
      <c r="R18" s="18">
        <f>R20+R21+R22</f>
        <v>35018.062319375007</v>
      </c>
      <c r="S18" s="18">
        <f>S20+S21+S22</f>
        <v>35897.376987518757</v>
      </c>
      <c r="T18" s="18">
        <f>T20+T21+T22</f>
        <v>36840.308216983445</v>
      </c>
      <c r="U18" s="95"/>
    </row>
    <row r="19" spans="1:21" ht="15.75" thickBot="1">
      <c r="A19" s="93"/>
      <c r="B19" s="94"/>
      <c r="C19" s="94"/>
      <c r="D19" s="94"/>
      <c r="E19" s="94"/>
      <c r="F19" s="94"/>
      <c r="G19" s="94"/>
      <c r="H19" s="94"/>
      <c r="I19" s="94"/>
      <c r="J19" s="94"/>
      <c r="K19" s="94"/>
      <c r="L19" s="94"/>
      <c r="M19" s="94"/>
      <c r="N19" s="94"/>
      <c r="O19" s="94"/>
      <c r="P19" s="94"/>
      <c r="Q19" s="94"/>
      <c r="R19" s="94"/>
      <c r="S19" s="94"/>
      <c r="T19" s="94"/>
      <c r="U19" s="95"/>
    </row>
    <row r="20" spans="1:21">
      <c r="A20" s="93"/>
      <c r="B20" s="35" t="s">
        <v>9</v>
      </c>
      <c r="C20" s="130">
        <v>7522.5</v>
      </c>
      <c r="D20" s="43">
        <f>C20*(1+'Supuestos Iniciales_n'!$F$18)</f>
        <v>8199.5250000000015</v>
      </c>
      <c r="E20" s="43">
        <f>D20*(1+'Supuestos Iniciales_n'!$F$18)</f>
        <v>8937.4822500000028</v>
      </c>
      <c r="F20" s="43">
        <f>E20*(1+'Supuestos Iniciales_n'!$F$18)</f>
        <v>9741.855652500004</v>
      </c>
      <c r="G20" s="43">
        <f>F20*(1+'Supuestos Iniciales_n'!$F$18)</f>
        <v>10618.622661225005</v>
      </c>
      <c r="H20" s="36">
        <f>G20*(1+'Supuestos Iniciales_n'!$F$18)</f>
        <v>11574.298700735257</v>
      </c>
      <c r="I20" s="94"/>
      <c r="J20" s="35">
        <f>D20*(1+'Supuestos Iniciales_n'!$C$45)</f>
        <v>10249.406250000002</v>
      </c>
      <c r="K20" s="43">
        <f>E20*(1+'Supuestos Iniciales_n'!$C$45)</f>
        <v>11171.852812500003</v>
      </c>
      <c r="L20" s="43">
        <f>F20*(1+'Supuestos Iniciales_n'!$C$45)</f>
        <v>12177.319565625005</v>
      </c>
      <c r="M20" s="43">
        <f>G20*(1+'Supuestos Iniciales_n'!$C$45)</f>
        <v>13273.278326531256</v>
      </c>
      <c r="N20" s="36">
        <f>H20*(1+'Supuestos Iniciales_n'!$C$45)</f>
        <v>14467.873375919071</v>
      </c>
      <c r="O20" s="94"/>
      <c r="P20" s="35">
        <f>D20*(1+'Supuestos Iniciales_n'!$F$45)</f>
        <v>6149.6437500000011</v>
      </c>
      <c r="Q20" s="43">
        <f>E20*(1+'Supuestos Iniciales_n'!$F$45)</f>
        <v>6703.1116875000025</v>
      </c>
      <c r="R20" s="43">
        <f>F20*(1+'Supuestos Iniciales_n'!$F$45)</f>
        <v>7306.3917393750035</v>
      </c>
      <c r="S20" s="43">
        <f>G20*(1+'Supuestos Iniciales_n'!$F$45)</f>
        <v>7963.966995918754</v>
      </c>
      <c r="T20" s="36">
        <f>H20*(1+'Supuestos Iniciales_n'!$F$45)</f>
        <v>8680.7240255514425</v>
      </c>
      <c r="U20" s="95"/>
    </row>
    <row r="21" spans="1:21">
      <c r="A21" s="93"/>
      <c r="B21" s="39" t="s">
        <v>37</v>
      </c>
      <c r="C21" s="131">
        <v>13089.1</v>
      </c>
      <c r="D21" s="45">
        <f>C21*(1+'Supuestos Iniciales_n'!$F$19)</f>
        <v>13089.1</v>
      </c>
      <c r="E21" s="45">
        <f>D21*(1+'Supuestos Iniciales_n'!$F$19)</f>
        <v>13089.1</v>
      </c>
      <c r="F21" s="45">
        <f>E21*(1+'Supuestos Iniciales_n'!$F$19)</f>
        <v>13089.1</v>
      </c>
      <c r="G21" s="45">
        <f>F21*(1+'Supuestos Iniciales_n'!$F$19)</f>
        <v>13089.1</v>
      </c>
      <c r="H21" s="40">
        <f>G21*(1+'Supuestos Iniciales_n'!$F$19)</f>
        <v>13089.1</v>
      </c>
      <c r="I21" s="94"/>
      <c r="J21" s="39">
        <f>D21*(1+'Supuestos Iniciales_n'!$C$46)</f>
        <v>13089.1</v>
      </c>
      <c r="K21" s="45">
        <f>E21*(1+'Supuestos Iniciales_n'!$C$46)</f>
        <v>13089.1</v>
      </c>
      <c r="L21" s="45">
        <f>F21*(1+'Supuestos Iniciales_n'!$C$46)</f>
        <v>13089.1</v>
      </c>
      <c r="M21" s="45">
        <f>G21*(1+'Supuestos Iniciales_n'!$C$46)</f>
        <v>13089.1</v>
      </c>
      <c r="N21" s="40">
        <f>H21*(1+'Supuestos Iniciales_n'!$C$46)</f>
        <v>13089.1</v>
      </c>
      <c r="O21" s="94"/>
      <c r="P21" s="39">
        <f>D21*(1+'Supuestos Iniciales_n'!$F$46)</f>
        <v>13089.1</v>
      </c>
      <c r="Q21" s="45">
        <f>E21*(1+'Supuestos Iniciales_n'!$F$46)</f>
        <v>13089.1</v>
      </c>
      <c r="R21" s="45">
        <f>F21*(1+'Supuestos Iniciales_n'!$F$46)</f>
        <v>13089.1</v>
      </c>
      <c r="S21" s="45">
        <f>G21*(1+'Supuestos Iniciales_n'!$F$46)</f>
        <v>13089.1</v>
      </c>
      <c r="T21" s="40">
        <f>H21*(1+'Supuestos Iniciales_n'!$F$46)</f>
        <v>13089.1</v>
      </c>
      <c r="U21" s="95"/>
    </row>
    <row r="22" spans="1:21">
      <c r="A22" s="93"/>
      <c r="B22" s="39" t="s">
        <v>38</v>
      </c>
      <c r="C22" s="45">
        <f>+C23+C24</f>
        <v>13983.1</v>
      </c>
      <c r="D22" s="45">
        <f t="shared" ref="D22:E22" si="22">+D23+D24</f>
        <v>14192.050000000001</v>
      </c>
      <c r="E22" s="45">
        <f t="shared" si="22"/>
        <v>14405.179000000002</v>
      </c>
      <c r="F22" s="45">
        <f t="shared" ref="F22:H22" si="23">+F23+F24</f>
        <v>14622.570580000001</v>
      </c>
      <c r="G22" s="45">
        <f t="shared" si="23"/>
        <v>14844.309991600001</v>
      </c>
      <c r="H22" s="40">
        <f t="shared" si="23"/>
        <v>15070.484191432</v>
      </c>
      <c r="I22" s="94"/>
      <c r="J22" s="39">
        <f t="shared" ref="J22:K22" si="24">+J23+J24</f>
        <v>14192.050000000001</v>
      </c>
      <c r="K22" s="45">
        <f t="shared" si="24"/>
        <v>14405.179000000002</v>
      </c>
      <c r="L22" s="45">
        <f t="shared" ref="L22:N22" si="25">+L23+L24</f>
        <v>14622.570580000001</v>
      </c>
      <c r="M22" s="45">
        <f t="shared" si="25"/>
        <v>14844.309991600001</v>
      </c>
      <c r="N22" s="40">
        <f t="shared" si="25"/>
        <v>15070.484191432</v>
      </c>
      <c r="O22" s="94"/>
      <c r="P22" s="39">
        <f>+P23+P24</f>
        <v>14192.050000000001</v>
      </c>
      <c r="Q22" s="45">
        <f t="shared" ref="Q22:T22" si="26">+Q23+Q24</f>
        <v>14405.179000000002</v>
      </c>
      <c r="R22" s="45">
        <f t="shared" si="26"/>
        <v>14622.570580000001</v>
      </c>
      <c r="S22" s="45">
        <f t="shared" si="26"/>
        <v>14844.309991600001</v>
      </c>
      <c r="T22" s="40">
        <f t="shared" si="26"/>
        <v>15070.484191432</v>
      </c>
      <c r="U22" s="95"/>
    </row>
    <row r="23" spans="1:21">
      <c r="A23" s="93"/>
      <c r="B23" s="37" t="s">
        <v>21</v>
      </c>
      <c r="C23" s="49">
        <v>10447.5</v>
      </c>
      <c r="D23" s="44">
        <f>C23*(1+'Supuestos Iniciales_n'!$F$20)</f>
        <v>10656.45</v>
      </c>
      <c r="E23" s="44">
        <f>D23*(1+'Supuestos Iniciales_n'!$F$20)</f>
        <v>10869.579000000002</v>
      </c>
      <c r="F23" s="44">
        <f>E23*(1+'Supuestos Iniciales_n'!$F$20)</f>
        <v>11086.970580000001</v>
      </c>
      <c r="G23" s="44">
        <f>F23*(1+'Supuestos Iniciales_n'!$F$20)</f>
        <v>11308.709991600001</v>
      </c>
      <c r="H23" s="38">
        <f>G23*(1+'Supuestos Iniciales_n'!$F$20)</f>
        <v>11534.884191432</v>
      </c>
      <c r="I23" s="94"/>
      <c r="J23" s="50">
        <f>D23*(1+'Supuestos Iniciales_n'!$C$47)</f>
        <v>10656.45</v>
      </c>
      <c r="K23" s="44">
        <f>E23*(1+'Supuestos Iniciales_n'!$C$47)</f>
        <v>10869.579000000002</v>
      </c>
      <c r="L23" s="44">
        <f>F23*(1+'Supuestos Iniciales_n'!$C$47)</f>
        <v>11086.970580000001</v>
      </c>
      <c r="M23" s="44">
        <f>G23*(1+'Supuestos Iniciales_n'!$C$47)</f>
        <v>11308.709991600001</v>
      </c>
      <c r="N23" s="38">
        <f>H23*(1+'Supuestos Iniciales_n'!$C$47)</f>
        <v>11534.884191432</v>
      </c>
      <c r="O23" s="94"/>
      <c r="P23" s="50">
        <f>D23*(1+'Supuestos Iniciales_n'!$F$47)</f>
        <v>10656.45</v>
      </c>
      <c r="Q23" s="44">
        <f>E23*(1+'Supuestos Iniciales_n'!$F$47)</f>
        <v>10869.579000000002</v>
      </c>
      <c r="R23" s="44">
        <f>F23*(1+'Supuestos Iniciales_n'!$F$47)</f>
        <v>11086.970580000001</v>
      </c>
      <c r="S23" s="44">
        <f>G23*(1+'Supuestos Iniciales_n'!$F$47)</f>
        <v>11308.709991600001</v>
      </c>
      <c r="T23" s="38">
        <f>H23*(1+'Supuestos Iniciales_n'!$F$47)</f>
        <v>11534.884191432</v>
      </c>
      <c r="U23" s="95"/>
    </row>
    <row r="24" spans="1:21" ht="15.75" thickBot="1">
      <c r="A24" s="93"/>
      <c r="B24" s="46" t="s">
        <v>84</v>
      </c>
      <c r="C24" s="52">
        <v>3535.6</v>
      </c>
      <c r="D24" s="47">
        <f>C24*(1+'Supuestos Iniciales_n'!$F$21)</f>
        <v>3535.6</v>
      </c>
      <c r="E24" s="47">
        <f>D24*(1+'Supuestos Iniciales_n'!$F$21)</f>
        <v>3535.6</v>
      </c>
      <c r="F24" s="47">
        <f>E24*(1+'Supuestos Iniciales_n'!$F$21)</f>
        <v>3535.6</v>
      </c>
      <c r="G24" s="47">
        <f>F24*(1+'Supuestos Iniciales_n'!$F$21)</f>
        <v>3535.6</v>
      </c>
      <c r="H24" s="42">
        <f>G24*(1+'Supuestos Iniciales_n'!$F$21)</f>
        <v>3535.6</v>
      </c>
      <c r="I24" s="94"/>
      <c r="J24" s="41">
        <f>D24*(1+'Supuestos Iniciales_n'!$C$48)</f>
        <v>3535.6</v>
      </c>
      <c r="K24" s="47">
        <f>E24*(1+'Supuestos Iniciales_n'!$C$48)</f>
        <v>3535.6</v>
      </c>
      <c r="L24" s="47">
        <f>F24*(1+'Supuestos Iniciales_n'!$C$48)</f>
        <v>3535.6</v>
      </c>
      <c r="M24" s="47">
        <f>G24*(1+'Supuestos Iniciales_n'!$C$48)</f>
        <v>3535.6</v>
      </c>
      <c r="N24" s="42">
        <f>H24*(1+'Supuestos Iniciales_n'!$C$48)</f>
        <v>3535.6</v>
      </c>
      <c r="O24" s="94"/>
      <c r="P24" s="41">
        <f>D24*(1+'Supuestos Iniciales_n'!$F$48)</f>
        <v>3535.6</v>
      </c>
      <c r="Q24" s="47">
        <f>E24*(1+'Supuestos Iniciales_n'!$F$48)</f>
        <v>3535.6</v>
      </c>
      <c r="R24" s="47">
        <f>F24*(1+'Supuestos Iniciales_n'!$F$48)</f>
        <v>3535.6</v>
      </c>
      <c r="S24" s="47">
        <f>G24*(1+'Supuestos Iniciales_n'!$F$48)</f>
        <v>3535.6</v>
      </c>
      <c r="T24" s="42">
        <f>H24*(1+'Supuestos Iniciales_n'!$F$48)</f>
        <v>3535.6</v>
      </c>
      <c r="U24" s="95"/>
    </row>
    <row r="25" spans="1:21">
      <c r="A25" s="93"/>
      <c r="B25" s="94"/>
      <c r="C25" s="94"/>
      <c r="D25" s="94"/>
      <c r="E25" s="94"/>
      <c r="F25" s="94"/>
      <c r="G25" s="94"/>
      <c r="H25" s="94"/>
      <c r="I25" s="94"/>
      <c r="J25" s="94"/>
      <c r="K25" s="94"/>
      <c r="L25" s="94"/>
      <c r="M25" s="94"/>
      <c r="N25" s="94"/>
      <c r="O25" s="94"/>
      <c r="P25" s="94"/>
      <c r="Q25" s="94"/>
      <c r="R25" s="94"/>
      <c r="S25" s="94"/>
      <c r="T25" s="94"/>
      <c r="U25" s="95"/>
    </row>
    <row r="26" spans="1:21">
      <c r="A26" s="93"/>
      <c r="B26" s="94"/>
      <c r="C26" s="94"/>
      <c r="D26" s="94"/>
      <c r="E26" s="94"/>
      <c r="F26" s="94"/>
      <c r="G26" s="94"/>
      <c r="H26" s="94"/>
      <c r="I26" s="94"/>
      <c r="J26" s="94"/>
      <c r="K26" s="94"/>
      <c r="L26" s="94"/>
      <c r="M26" s="94"/>
      <c r="N26" s="94"/>
      <c r="O26" s="94"/>
      <c r="P26" s="94"/>
      <c r="Q26" s="94"/>
      <c r="R26" s="94"/>
      <c r="S26" s="94"/>
      <c r="T26" s="94"/>
      <c r="U26" s="95"/>
    </row>
    <row r="27" spans="1:21">
      <c r="A27" s="93"/>
      <c r="B27" s="94"/>
      <c r="C27" s="94"/>
      <c r="D27" s="94"/>
      <c r="E27" s="94"/>
      <c r="F27" s="94"/>
      <c r="G27" s="94"/>
      <c r="H27" s="94"/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94"/>
      <c r="T27" s="94"/>
      <c r="U27" s="95"/>
    </row>
    <row r="28" spans="1:21">
      <c r="A28" s="93"/>
      <c r="B28" s="94"/>
      <c r="C28" s="94"/>
      <c r="D28" s="94"/>
      <c r="E28" s="94"/>
      <c r="F28" s="94"/>
      <c r="G28" s="94"/>
      <c r="H28" s="94"/>
      <c r="I28" s="94"/>
      <c r="J28" s="94"/>
      <c r="K28" s="94"/>
      <c r="L28" s="94"/>
      <c r="M28" s="94"/>
      <c r="N28" s="94"/>
      <c r="O28" s="94"/>
      <c r="P28" s="94"/>
      <c r="Q28" s="94"/>
      <c r="R28" s="94"/>
      <c r="S28" s="94"/>
      <c r="T28" s="94"/>
      <c r="U28" s="95"/>
    </row>
    <row r="29" spans="1:21">
      <c r="A29" s="93"/>
      <c r="B29" s="94"/>
      <c r="C29" s="94"/>
      <c r="D29" s="94"/>
      <c r="E29" s="94"/>
      <c r="F29" s="94"/>
      <c r="G29" s="94"/>
      <c r="H29" s="94"/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94"/>
      <c r="T29" s="94"/>
      <c r="U29" s="95"/>
    </row>
    <row r="30" spans="1:21">
      <c r="A30" s="93"/>
      <c r="B30" s="94"/>
      <c r="C30" s="94"/>
      <c r="D30" s="94"/>
      <c r="E30" s="94"/>
      <c r="F30" s="94"/>
      <c r="G30" s="94"/>
      <c r="H30" s="94"/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94"/>
      <c r="T30" s="94"/>
      <c r="U30" s="95"/>
    </row>
    <row r="31" spans="1:21" ht="15.75" thickBot="1">
      <c r="A31" s="104"/>
      <c r="B31" s="105"/>
      <c r="C31" s="105"/>
      <c r="D31" s="105"/>
      <c r="E31" s="105"/>
      <c r="F31" s="105"/>
      <c r="G31" s="105"/>
      <c r="H31" s="105"/>
      <c r="I31" s="105"/>
      <c r="J31" s="105"/>
      <c r="K31" s="105"/>
      <c r="L31" s="105"/>
      <c r="M31" s="105"/>
      <c r="N31" s="105"/>
      <c r="O31" s="105"/>
      <c r="P31" s="105"/>
      <c r="Q31" s="105"/>
      <c r="R31" s="105"/>
      <c r="S31" s="105"/>
      <c r="T31" s="105"/>
      <c r="U31" s="106"/>
    </row>
  </sheetData>
  <mergeCells count="3">
    <mergeCell ref="D2:H2"/>
    <mergeCell ref="J2:N2"/>
    <mergeCell ref="P2:T2"/>
  </mergeCells>
  <conditionalFormatting sqref="C4">
    <cfRule type="cellIs" dxfId="7" priority="11" operator="notEqual">
      <formula>C18</formula>
    </cfRule>
  </conditionalFormatting>
  <conditionalFormatting sqref="C18">
    <cfRule type="cellIs" dxfId="6" priority="10" operator="notEqual">
      <formula>C4</formula>
    </cfRule>
  </conditionalFormatting>
  <conditionalFormatting sqref="C18">
    <cfRule type="cellIs" dxfId="5" priority="3" operator="notEqual">
      <formula>C4</formula>
    </cfRule>
  </conditionalFormatting>
  <conditionalFormatting sqref="C18">
    <cfRule type="cellIs" dxfId="4" priority="2" operator="notEqual">
      <formula>C4</formula>
    </cfRule>
  </conditionalFormatting>
  <conditionalFormatting sqref="C18">
    <cfRule type="cellIs" dxfId="3" priority="1" operator="notEqual">
      <formula>C4</formula>
    </cfRule>
  </conditionalFormatting>
  <pageMargins left="0.70866141732283472" right="0.70866141732283472" top="0.74803149606299213" bottom="0.74803149606299213" header="0.31496062992125984" footer="0.31496062992125984"/>
  <pageSetup paperSize="9" scale="45" orientation="landscape" r:id="rId1"/>
  <ignoredErrors>
    <ignoredError sqref="O21 I11 O11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 codeName="Hoja14"/>
  <dimension ref="A1:D36"/>
  <sheetViews>
    <sheetView zoomScale="80" zoomScaleNormal="80" workbookViewId="0"/>
  </sheetViews>
  <sheetFormatPr baseColWidth="10" defaultRowHeight="15"/>
  <cols>
    <col min="1" max="1" width="4.85546875" style="13" customWidth="1"/>
    <col min="2" max="2" width="48.5703125" style="13" bestFit="1" customWidth="1"/>
    <col min="3" max="3" width="24.140625" style="13" bestFit="1" customWidth="1"/>
    <col min="4" max="16384" width="11.42578125" style="13"/>
  </cols>
  <sheetData>
    <row r="1" spans="1:4" ht="15.75" thickBot="1">
      <c r="A1" s="10"/>
      <c r="B1" s="11"/>
      <c r="C1" s="11"/>
      <c r="D1" s="12"/>
    </row>
    <row r="2" spans="1:4" ht="15.75" thickBot="1">
      <c r="A2" s="14"/>
      <c r="B2" s="22" t="s">
        <v>24</v>
      </c>
      <c r="C2" s="15"/>
      <c r="D2" s="16"/>
    </row>
    <row r="3" spans="1:4" ht="15.75" thickBot="1">
      <c r="A3" s="14"/>
      <c r="B3" s="87" t="str">
        <f>'Supuestos Iniciales_n'!F10</f>
        <v>Millones de Euros</v>
      </c>
      <c r="C3" s="65" t="str">
        <f>'Supuestos Iniciales_n'!F9</f>
        <v>2009</v>
      </c>
      <c r="D3" s="16"/>
    </row>
    <row r="4" spans="1:4" ht="15.75" thickBot="1">
      <c r="A4" s="14"/>
      <c r="B4" s="48" t="s">
        <v>4</v>
      </c>
      <c r="C4" s="18">
        <f>C6+C14</f>
        <v>36594.699999999997</v>
      </c>
      <c r="D4" s="16"/>
    </row>
    <row r="5" spans="1:4" ht="15.75" thickBot="1">
      <c r="A5" s="14"/>
      <c r="B5" s="15"/>
      <c r="C5" s="15"/>
      <c r="D5" s="16"/>
    </row>
    <row r="6" spans="1:4">
      <c r="A6" s="14"/>
      <c r="B6" s="35" t="s">
        <v>33</v>
      </c>
      <c r="C6" s="36">
        <f>SUM(C7:C13)</f>
        <v>19738.400000000001</v>
      </c>
      <c r="D6" s="16"/>
    </row>
    <row r="7" spans="1:4">
      <c r="A7" s="14"/>
      <c r="B7" s="37" t="s">
        <v>34</v>
      </c>
      <c r="C7" s="112">
        <v>1575.2</v>
      </c>
      <c r="D7" s="16"/>
    </row>
    <row r="8" spans="1:4">
      <c r="A8" s="14"/>
      <c r="B8" s="67" t="s">
        <v>22</v>
      </c>
      <c r="C8" s="110">
        <v>0</v>
      </c>
      <c r="D8" s="16"/>
    </row>
    <row r="9" spans="1:4">
      <c r="A9" s="14"/>
      <c r="B9" s="37" t="s">
        <v>35</v>
      </c>
      <c r="C9" s="112">
        <v>5976.5</v>
      </c>
      <c r="D9" s="16"/>
    </row>
    <row r="10" spans="1:4">
      <c r="A10" s="14"/>
      <c r="B10" s="68" t="s">
        <v>22</v>
      </c>
      <c r="C10" s="110">
        <v>2000</v>
      </c>
      <c r="D10" s="16"/>
    </row>
    <row r="11" spans="1:4">
      <c r="A11" s="14"/>
      <c r="B11" s="53" t="s">
        <v>74</v>
      </c>
      <c r="C11" s="111">
        <v>0</v>
      </c>
      <c r="D11" s="16"/>
    </row>
    <row r="12" spans="1:4">
      <c r="A12" s="14"/>
      <c r="B12" s="37" t="s">
        <v>86</v>
      </c>
      <c r="C12" s="112">
        <v>10186.700000000001</v>
      </c>
      <c r="D12" s="16"/>
    </row>
    <row r="13" spans="1:4">
      <c r="A13" s="14"/>
      <c r="B13" s="69" t="s">
        <v>22</v>
      </c>
      <c r="C13" s="110">
        <v>0</v>
      </c>
      <c r="D13" s="16"/>
    </row>
    <row r="14" spans="1:4">
      <c r="A14" s="14"/>
      <c r="B14" s="39" t="s">
        <v>36</v>
      </c>
      <c r="C14" s="40">
        <f>SUM(C15:C21)</f>
        <v>16856.3</v>
      </c>
      <c r="D14" s="16"/>
    </row>
    <row r="15" spans="1:4">
      <c r="A15" s="14"/>
      <c r="B15" s="37" t="s">
        <v>6</v>
      </c>
      <c r="C15" s="112">
        <v>657.8</v>
      </c>
      <c r="D15" s="16"/>
    </row>
    <row r="16" spans="1:4">
      <c r="A16" s="14"/>
      <c r="B16" s="68" t="s">
        <v>23</v>
      </c>
      <c r="C16" s="110">
        <v>0</v>
      </c>
      <c r="D16" s="16"/>
    </row>
    <row r="17" spans="1:4">
      <c r="A17" s="14"/>
      <c r="B17" s="37" t="s">
        <v>19</v>
      </c>
      <c r="C17" s="112">
        <v>7261.2</v>
      </c>
      <c r="D17" s="16"/>
    </row>
    <row r="18" spans="1:4">
      <c r="A18" s="14"/>
      <c r="B18" s="68" t="s">
        <v>58</v>
      </c>
      <c r="C18" s="113">
        <v>0</v>
      </c>
      <c r="D18" s="16"/>
    </row>
    <row r="19" spans="1:4">
      <c r="A19" s="14"/>
      <c r="B19" s="37" t="s">
        <v>85</v>
      </c>
      <c r="C19" s="114">
        <v>3889.8</v>
      </c>
      <c r="D19" s="16"/>
    </row>
    <row r="20" spans="1:4">
      <c r="A20" s="14"/>
      <c r="B20" s="68" t="s">
        <v>22</v>
      </c>
      <c r="C20" s="108">
        <v>0</v>
      </c>
      <c r="D20" s="16"/>
    </row>
    <row r="21" spans="1:4" ht="15.75" thickBot="1">
      <c r="A21" s="14"/>
      <c r="B21" s="46" t="s">
        <v>7</v>
      </c>
      <c r="C21" s="115">
        <v>5047.5</v>
      </c>
      <c r="D21" s="16"/>
    </row>
    <row r="22" spans="1:4">
      <c r="A22" s="14"/>
      <c r="B22" s="15"/>
      <c r="C22" s="15"/>
      <c r="D22" s="16"/>
    </row>
    <row r="23" spans="1:4" ht="15.75" thickBot="1">
      <c r="A23" s="14"/>
      <c r="B23" s="15"/>
      <c r="C23" s="15"/>
      <c r="D23" s="16"/>
    </row>
    <row r="24" spans="1:4" ht="15.75" thickBot="1">
      <c r="A24" s="14"/>
      <c r="B24" s="18" t="s">
        <v>8</v>
      </c>
      <c r="C24" s="18">
        <f>C26+C27+C28+C30+C29</f>
        <v>36594.699999999997</v>
      </c>
      <c r="D24" s="16"/>
    </row>
    <row r="25" spans="1:4" ht="15.75" thickBot="1">
      <c r="A25" s="14"/>
      <c r="B25" s="15"/>
      <c r="C25" s="15"/>
      <c r="D25" s="16"/>
    </row>
    <row r="26" spans="1:4">
      <c r="A26" s="14"/>
      <c r="B26" s="35" t="s">
        <v>9</v>
      </c>
      <c r="C26" s="132">
        <v>7522.5</v>
      </c>
      <c r="D26" s="16"/>
    </row>
    <row r="27" spans="1:4">
      <c r="A27" s="14"/>
      <c r="B27" s="66" t="s">
        <v>17</v>
      </c>
      <c r="C27" s="109">
        <f>C8+C10+C16+C18+C13+C20-C29-C31</f>
        <v>2000</v>
      </c>
      <c r="D27" s="16"/>
    </row>
    <row r="28" spans="1:4">
      <c r="A28" s="14"/>
      <c r="B28" s="39" t="s">
        <v>37</v>
      </c>
      <c r="C28" s="133">
        <v>13089.1</v>
      </c>
      <c r="D28" s="16"/>
    </row>
    <row r="29" spans="1:4">
      <c r="A29" s="14"/>
      <c r="B29" s="68" t="s">
        <v>111</v>
      </c>
      <c r="C29" s="168">
        <v>0</v>
      </c>
      <c r="D29" s="16"/>
    </row>
    <row r="30" spans="1:4">
      <c r="A30" s="14"/>
      <c r="B30" s="39" t="s">
        <v>38</v>
      </c>
      <c r="C30" s="40">
        <f>SUM(C31:C33)</f>
        <v>13983.1</v>
      </c>
      <c r="D30" s="16"/>
    </row>
    <row r="31" spans="1:4">
      <c r="A31" s="14"/>
      <c r="B31" s="68" t="s">
        <v>111</v>
      </c>
      <c r="C31" s="169">
        <v>0</v>
      </c>
      <c r="D31" s="16"/>
    </row>
    <row r="32" spans="1:4">
      <c r="A32" s="14"/>
      <c r="B32" s="37" t="s">
        <v>21</v>
      </c>
      <c r="C32" s="112">
        <v>10447.5</v>
      </c>
      <c r="D32" s="16"/>
    </row>
    <row r="33" spans="1:4" ht="15.75" thickBot="1">
      <c r="A33" s="14"/>
      <c r="B33" s="46" t="s">
        <v>84</v>
      </c>
      <c r="C33" s="115">
        <v>3535.6</v>
      </c>
      <c r="D33" s="16"/>
    </row>
    <row r="34" spans="1:4">
      <c r="A34" s="14"/>
      <c r="B34" s="15"/>
      <c r="C34" s="15"/>
      <c r="D34" s="16"/>
    </row>
    <row r="35" spans="1:4">
      <c r="A35" s="14"/>
      <c r="B35" s="15"/>
      <c r="C35" s="15"/>
      <c r="D35" s="16"/>
    </row>
    <row r="36" spans="1:4" ht="15.75" thickBot="1">
      <c r="A36" s="19"/>
      <c r="B36" s="20"/>
      <c r="C36" s="20"/>
      <c r="D36" s="21"/>
    </row>
  </sheetData>
  <conditionalFormatting sqref="C4">
    <cfRule type="cellIs" dxfId="2" priority="8" operator="notEqual">
      <formula>C24</formula>
    </cfRule>
  </conditionalFormatting>
  <conditionalFormatting sqref="C24">
    <cfRule type="cellIs" dxfId="1" priority="2" operator="notEqual">
      <formula>C4</formula>
    </cfRule>
  </conditionalFormatting>
  <conditionalFormatting sqref="C24">
    <cfRule type="cellIs" dxfId="0" priority="1" operator="notEqual">
      <formula>C4</formula>
    </cfRule>
  </conditionalFormatting>
  <pageMargins left="0.7" right="0.7" top="0.75" bottom="0.75" header="0.3" footer="0.3"/>
  <pageSetup paperSize="9" scale="9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Hoja18"/>
  <dimension ref="A1:J64"/>
  <sheetViews>
    <sheetView zoomScale="80" zoomScaleNormal="80" workbookViewId="0">
      <selection activeCell="E32" sqref="E32"/>
    </sheetView>
  </sheetViews>
  <sheetFormatPr baseColWidth="10" defaultRowHeight="15"/>
  <cols>
    <col min="1" max="1" width="5" style="92" customWidth="1"/>
    <col min="2" max="2" width="50.85546875" style="92" customWidth="1"/>
    <col min="3" max="3" width="12.7109375" style="92" customWidth="1"/>
    <col min="4" max="4" width="12" style="92" bestFit="1" customWidth="1"/>
    <col min="5" max="8" width="11.5703125" style="92" bestFit="1" customWidth="1"/>
    <col min="9" max="16384" width="11.42578125" style="92"/>
  </cols>
  <sheetData>
    <row r="1" spans="1:10" ht="15.75" thickBot="1">
      <c r="A1" s="89"/>
      <c r="B1" s="90"/>
      <c r="C1" s="90"/>
      <c r="D1" s="90"/>
      <c r="E1" s="90"/>
      <c r="F1" s="90"/>
      <c r="G1" s="90"/>
      <c r="H1" s="90"/>
      <c r="I1" s="90"/>
      <c r="J1" s="91"/>
    </row>
    <row r="2" spans="1:10" ht="15.75" thickBot="1">
      <c r="A2" s="93"/>
      <c r="B2" s="22" t="s">
        <v>105</v>
      </c>
      <c r="C2" s="94"/>
      <c r="D2" s="94"/>
      <c r="E2" s="94"/>
      <c r="F2" s="94"/>
      <c r="G2" s="94"/>
      <c r="H2" s="94"/>
      <c r="I2" s="94"/>
      <c r="J2" s="95"/>
    </row>
    <row r="3" spans="1:10" ht="15.75" thickBot="1">
      <c r="A3" s="93"/>
      <c r="B3" s="96" t="str">
        <f>'Supuestos Iniciales_n'!F10</f>
        <v>Millones de Euros</v>
      </c>
      <c r="C3" s="97" t="str">
        <f>'Supuestos Iniciales_n'!F9</f>
        <v>2009</v>
      </c>
      <c r="D3" s="97">
        <f>C3+1</f>
        <v>2010</v>
      </c>
      <c r="E3" s="97">
        <f t="shared" ref="E3:H3" si="0">D3+1</f>
        <v>2011</v>
      </c>
      <c r="F3" s="97">
        <f t="shared" si="0"/>
        <v>2012</v>
      </c>
      <c r="G3" s="97">
        <f t="shared" si="0"/>
        <v>2013</v>
      </c>
      <c r="H3" s="97">
        <f t="shared" si="0"/>
        <v>2014</v>
      </c>
      <c r="I3" s="94"/>
      <c r="J3" s="95"/>
    </row>
    <row r="4" spans="1:10" ht="15.75" thickBot="1">
      <c r="A4" s="93"/>
      <c r="B4" s="94"/>
      <c r="C4" s="94"/>
      <c r="D4" s="94"/>
      <c r="E4" s="94"/>
      <c r="F4" s="94"/>
      <c r="G4" s="94"/>
      <c r="H4" s="94"/>
      <c r="I4" s="94"/>
      <c r="J4" s="95"/>
    </row>
    <row r="5" spans="1:10">
      <c r="A5" s="93"/>
      <c r="B5" s="98" t="s">
        <v>10</v>
      </c>
      <c r="C5" s="23">
        <v>15605.9</v>
      </c>
      <c r="D5" s="24">
        <f>C5*(1+'Supuestos Iniciales_n'!$C6)</f>
        <v>16386.195</v>
      </c>
      <c r="E5" s="24">
        <f>D5*(1+'Supuestos Iniciales_n'!$C6)</f>
        <v>17205.50475</v>
      </c>
      <c r="F5" s="24">
        <f>E5*(1+'Supuestos Iniciales_n'!$C6)</f>
        <v>18065.779987500002</v>
      </c>
      <c r="G5" s="24">
        <f>F5*(1+'Supuestos Iniciales_n'!$C6)</f>
        <v>18969.068986875001</v>
      </c>
      <c r="H5" s="25">
        <f>G5*(1+'Supuestos Iniciales_n'!$C6)</f>
        <v>19917.522436218751</v>
      </c>
      <c r="I5" s="94"/>
      <c r="J5" s="95"/>
    </row>
    <row r="6" spans="1:10">
      <c r="A6" s="93"/>
      <c r="B6" s="99" t="s">
        <v>62</v>
      </c>
      <c r="C6" s="54">
        <v>391</v>
      </c>
      <c r="D6" s="55">
        <f>C6*(1+'Supuestos Iniciales_n'!$C7)</f>
        <v>398.82</v>
      </c>
      <c r="E6" s="55">
        <f>D6*(1+'Supuestos Iniciales_n'!$C7)</f>
        <v>406.79640000000001</v>
      </c>
      <c r="F6" s="55">
        <f>E6*(1+'Supuestos Iniciales_n'!$C7)</f>
        <v>414.93232800000004</v>
      </c>
      <c r="G6" s="55">
        <f>F6*(1+'Supuestos Iniciales_n'!$C7)</f>
        <v>423.23097456000005</v>
      </c>
      <c r="H6" s="58">
        <f>G6*(1+'Supuestos Iniciales_n'!$C7)</f>
        <v>431.69559405120003</v>
      </c>
      <c r="I6" s="94"/>
      <c r="J6" s="95"/>
    </row>
    <row r="7" spans="1:10">
      <c r="A7" s="93"/>
      <c r="B7" s="99" t="s">
        <v>59</v>
      </c>
      <c r="C7" s="54">
        <v>0</v>
      </c>
      <c r="D7" s="55">
        <f>C7*(1+'Supuestos Iniciales_n'!$C8)</f>
        <v>0</v>
      </c>
      <c r="E7" s="55">
        <f>D7*(1+'Supuestos Iniciales_n'!$C8)</f>
        <v>0</v>
      </c>
      <c r="F7" s="55">
        <f>E7*(1+'Supuestos Iniciales_n'!$C8)</f>
        <v>0</v>
      </c>
      <c r="G7" s="55">
        <f>F7*(1+'Supuestos Iniciales_n'!$C8)</f>
        <v>0</v>
      </c>
      <c r="H7" s="58">
        <f>G7*(1+'Supuestos Iniciales_n'!$C8)</f>
        <v>0</v>
      </c>
      <c r="I7" s="94"/>
      <c r="J7" s="95"/>
    </row>
    <row r="8" spans="1:10">
      <c r="A8" s="93"/>
      <c r="B8" s="99" t="s">
        <v>78</v>
      </c>
      <c r="C8" s="54">
        <v>0</v>
      </c>
      <c r="D8" s="55">
        <f>C8*(1+'Supuestos Iniciales_n'!$C9)</f>
        <v>0</v>
      </c>
      <c r="E8" s="55">
        <f>D8*(1+'Supuestos Iniciales_n'!$C9)</f>
        <v>0</v>
      </c>
      <c r="F8" s="55">
        <f>E8*(1+'Supuestos Iniciales_n'!$C9)</f>
        <v>0</v>
      </c>
      <c r="G8" s="55">
        <f>F8*(1+'Supuestos Iniciales_n'!$C9)</f>
        <v>0</v>
      </c>
      <c r="H8" s="58">
        <f>G8*(1+'Supuestos Iniciales_n'!$C9)</f>
        <v>0</v>
      </c>
      <c r="I8" s="94"/>
      <c r="J8" s="95"/>
    </row>
    <row r="9" spans="1:10">
      <c r="A9" s="93"/>
      <c r="B9" s="99" t="s">
        <v>61</v>
      </c>
      <c r="C9" s="54">
        <v>0</v>
      </c>
      <c r="D9" s="55">
        <f>C9*(1+'Supuestos Iniciales_n'!$C10)</f>
        <v>0</v>
      </c>
      <c r="E9" s="55">
        <f>D9*(1+'Supuestos Iniciales_n'!$C10)</f>
        <v>0</v>
      </c>
      <c r="F9" s="55">
        <f>E9*(1+'Supuestos Iniciales_n'!$C10)</f>
        <v>0</v>
      </c>
      <c r="G9" s="55">
        <f>F9*(1+'Supuestos Iniciales_n'!$C10)</f>
        <v>0</v>
      </c>
      <c r="H9" s="58">
        <f>G9*(1+'Supuestos Iniciales_n'!$C10)</f>
        <v>0</v>
      </c>
      <c r="I9" s="94"/>
      <c r="J9" s="95"/>
    </row>
    <row r="10" spans="1:10">
      <c r="A10" s="93"/>
      <c r="B10" s="99" t="s">
        <v>63</v>
      </c>
      <c r="C10" s="54">
        <v>3862.4</v>
      </c>
      <c r="D10" s="55">
        <f>C10*(1+'Supuestos Iniciales_n'!$C11)</f>
        <v>3939.6480000000001</v>
      </c>
      <c r="E10" s="55">
        <f>D10*(1+'Supuestos Iniciales_n'!$C11)</f>
        <v>4018.4409600000004</v>
      </c>
      <c r="F10" s="55">
        <f>E10*(1+'Supuestos Iniciales_n'!$C11)</f>
        <v>4098.8097792000008</v>
      </c>
      <c r="G10" s="55">
        <f>F10*(1+'Supuestos Iniciales_n'!$C11)</f>
        <v>4180.7859747840012</v>
      </c>
      <c r="H10" s="58">
        <f>G10*(1+'Supuestos Iniciales_n'!$C11)</f>
        <v>4264.4016942796816</v>
      </c>
      <c r="I10" s="94"/>
      <c r="J10" s="95"/>
    </row>
    <row r="11" spans="1:10">
      <c r="A11" s="93"/>
      <c r="B11" s="99" t="s">
        <v>64</v>
      </c>
      <c r="C11" s="54">
        <v>10676.4</v>
      </c>
      <c r="D11" s="55">
        <f>C11*(1+'Supuestos Iniciales_n'!$C12)</f>
        <v>10889.928</v>
      </c>
      <c r="E11" s="55">
        <f>D11*(1+'Supuestos Iniciales_n'!$C12)</f>
        <v>11107.726560000001</v>
      </c>
      <c r="F11" s="55">
        <f>E11*(1+'Supuestos Iniciales_n'!$C12)</f>
        <v>11329.881091200001</v>
      </c>
      <c r="G11" s="55">
        <f>F11*(1+'Supuestos Iniciales_n'!$C12)</f>
        <v>11556.478713024</v>
      </c>
      <c r="H11" s="58">
        <f>G11*(1+'Supuestos Iniciales_n'!$C12)</f>
        <v>11787.60828728448</v>
      </c>
      <c r="I11" s="94"/>
      <c r="J11" s="95"/>
    </row>
    <row r="12" spans="1:10">
      <c r="A12" s="93"/>
      <c r="B12" s="100" t="s">
        <v>5</v>
      </c>
      <c r="C12" s="26">
        <v>365.1</v>
      </c>
      <c r="D12" s="55">
        <f>C12*(1+'Supuestos Iniciales_n'!$C13)</f>
        <v>383.35500000000002</v>
      </c>
      <c r="E12" s="55">
        <f>D12*(1+'Supuestos Iniciales_n'!$C13)</f>
        <v>402.52275000000003</v>
      </c>
      <c r="F12" s="55">
        <f>E12*(1+'Supuestos Iniciales_n'!$C13)</f>
        <v>422.64888750000006</v>
      </c>
      <c r="G12" s="55">
        <f>F12*(1+'Supuestos Iniciales_n'!$C13)</f>
        <v>443.78133187500009</v>
      </c>
      <c r="H12" s="58">
        <f>G12*(1+'Supuestos Iniciales_n'!$C13)</f>
        <v>465.97039846875009</v>
      </c>
      <c r="I12" s="94"/>
      <c r="J12" s="95"/>
    </row>
    <row r="13" spans="1:10">
      <c r="A13" s="93"/>
      <c r="B13" s="29" t="s">
        <v>11</v>
      </c>
      <c r="C13" s="30">
        <v>1041.4000000000001</v>
      </c>
      <c r="D13" s="56">
        <f t="shared" ref="D13:H13" si="1">D5+D6+D7+D8-D9-D10-D11-D12</f>
        <v>1572.0839999999985</v>
      </c>
      <c r="E13" s="56">
        <f t="shared" si="1"/>
        <v>2083.6108799999984</v>
      </c>
      <c r="F13" s="56">
        <f t="shared" si="1"/>
        <v>2629.3725575999993</v>
      </c>
      <c r="G13" s="56">
        <f t="shared" si="1"/>
        <v>3211.2539417519997</v>
      </c>
      <c r="H13" s="57">
        <f t="shared" si="1"/>
        <v>3831.2376502370416</v>
      </c>
      <c r="I13" s="94"/>
      <c r="J13" s="95"/>
    </row>
    <row r="14" spans="1:10">
      <c r="A14" s="93"/>
      <c r="B14" s="99" t="s">
        <v>65</v>
      </c>
      <c r="C14" s="54">
        <v>395.5</v>
      </c>
      <c r="D14" s="55">
        <f>C14*(1+'Supuestos Iniciales_n'!$C$14)</f>
        <v>395.5</v>
      </c>
      <c r="E14" s="55">
        <f>D14*(1+'Supuestos Iniciales_n'!$C$14)</f>
        <v>395.5</v>
      </c>
      <c r="F14" s="55">
        <f>E14*(1+'Supuestos Iniciales_n'!$C$14)</f>
        <v>395.5</v>
      </c>
      <c r="G14" s="55">
        <f>F14*(1+'Supuestos Iniciales_n'!$C$14)</f>
        <v>395.5</v>
      </c>
      <c r="H14" s="58">
        <f>G14*(1+'Supuestos Iniciales_n'!$C$14)</f>
        <v>395.5</v>
      </c>
      <c r="I14" s="94"/>
      <c r="J14" s="95"/>
    </row>
    <row r="15" spans="1:10">
      <c r="A15" s="93"/>
      <c r="B15" s="99" t="s">
        <v>66</v>
      </c>
      <c r="C15" s="54">
        <v>664.6</v>
      </c>
      <c r="D15" s="27">
        <f>C15*(1+'Supuestos Iniciales_n'!$C$15)</f>
        <v>697.83</v>
      </c>
      <c r="E15" s="27">
        <f>D15*(1+'Supuestos Iniciales_n'!$C$15)</f>
        <v>732.72150000000011</v>
      </c>
      <c r="F15" s="27">
        <f>E15*(1+'Supuestos Iniciales_n'!$C$15)</f>
        <v>769.35757500000011</v>
      </c>
      <c r="G15" s="27">
        <f>F15*(1+'Supuestos Iniciales_n'!$C$15)</f>
        <v>807.82545375000018</v>
      </c>
      <c r="H15" s="28">
        <f>G15*(1+'Supuestos Iniciales_n'!$C$15)</f>
        <v>848.21672643750026</v>
      </c>
      <c r="I15" s="94"/>
      <c r="J15" s="95"/>
    </row>
    <row r="16" spans="1:10">
      <c r="A16" s="93"/>
      <c r="B16" s="29" t="s">
        <v>67</v>
      </c>
      <c r="C16" s="30">
        <v>988</v>
      </c>
      <c r="D16" s="56">
        <f>D13+D14-D15</f>
        <v>1269.7539999999985</v>
      </c>
      <c r="E16" s="56">
        <f t="shared" ref="E16:H16" si="2">E13+E14-E15</f>
        <v>1746.3893799999983</v>
      </c>
      <c r="F16" s="56">
        <f t="shared" si="2"/>
        <v>2255.5149825999993</v>
      </c>
      <c r="G16" s="56">
        <f t="shared" si="2"/>
        <v>2798.9284880019995</v>
      </c>
      <c r="H16" s="57">
        <f t="shared" si="2"/>
        <v>3378.5209237995414</v>
      </c>
      <c r="I16" s="94"/>
      <c r="J16" s="95"/>
    </row>
    <row r="17" spans="1:10">
      <c r="A17" s="93"/>
      <c r="B17" s="99" t="s">
        <v>68</v>
      </c>
      <c r="C17" s="54">
        <v>120.4</v>
      </c>
      <c r="D17" s="55">
        <f>IF(D16&lt;0,0,D16*'Supuestos Iniciales_n'!$C$52)</f>
        <v>380.92619999999954</v>
      </c>
      <c r="E17" s="55">
        <f>IF(E16&lt;0,0,E16*'Supuestos Iniciales_n'!$C$52)</f>
        <v>523.91681399999948</v>
      </c>
      <c r="F17" s="55">
        <f>IF(F16&lt;0,0,F16*'Supuestos Iniciales_n'!$C$52)</f>
        <v>676.65449477999971</v>
      </c>
      <c r="G17" s="55">
        <f>IF(G16&lt;0,0,G16*'Supuestos Iniciales_n'!$C$52)</f>
        <v>839.67854640059988</v>
      </c>
      <c r="H17" s="58">
        <f>IF(H16&lt;0,0,H16*'Supuestos Iniciales_n'!$C$52)</f>
        <v>1013.5562771398623</v>
      </c>
      <c r="I17" s="94"/>
      <c r="J17" s="95"/>
    </row>
    <row r="18" spans="1:10" ht="15.75" thickBot="1">
      <c r="A18" s="93"/>
      <c r="B18" s="31" t="s">
        <v>12</v>
      </c>
      <c r="C18" s="32">
        <v>1980.5</v>
      </c>
      <c r="D18" s="33">
        <f>D16-D17</f>
        <v>888.827799999999</v>
      </c>
      <c r="E18" s="33">
        <f t="shared" ref="E18:H18" si="3">E16-E17</f>
        <v>1222.4725659999988</v>
      </c>
      <c r="F18" s="33">
        <f t="shared" si="3"/>
        <v>1578.8604878199994</v>
      </c>
      <c r="G18" s="33">
        <f t="shared" si="3"/>
        <v>1959.2499416013998</v>
      </c>
      <c r="H18" s="34">
        <f t="shared" si="3"/>
        <v>2364.9646466596791</v>
      </c>
      <c r="I18" s="94"/>
      <c r="J18" s="95"/>
    </row>
    <row r="19" spans="1:10">
      <c r="A19" s="93"/>
      <c r="B19" s="94"/>
      <c r="C19" s="94"/>
      <c r="D19" s="94"/>
      <c r="E19" s="94"/>
      <c r="F19" s="94"/>
      <c r="G19" s="94"/>
      <c r="H19" s="94"/>
      <c r="I19" s="94"/>
      <c r="J19" s="95"/>
    </row>
    <row r="20" spans="1:10" ht="15.75" thickBot="1">
      <c r="A20" s="93"/>
      <c r="B20" s="94"/>
      <c r="C20" s="94"/>
      <c r="D20" s="94"/>
      <c r="E20" s="94"/>
      <c r="F20" s="94"/>
      <c r="G20" s="94"/>
      <c r="H20" s="94"/>
      <c r="I20" s="94"/>
      <c r="J20" s="95"/>
    </row>
    <row r="21" spans="1:10" ht="15.75" thickBot="1">
      <c r="A21" s="93"/>
      <c r="B21" s="22" t="s">
        <v>106</v>
      </c>
      <c r="C21" s="94"/>
      <c r="D21" s="94"/>
      <c r="E21" s="94"/>
      <c r="F21" s="94"/>
      <c r="G21" s="94"/>
      <c r="H21" s="94"/>
      <c r="I21" s="94"/>
      <c r="J21" s="95"/>
    </row>
    <row r="22" spans="1:10" ht="15.75" thickBot="1">
      <c r="A22" s="93"/>
      <c r="B22" s="94"/>
      <c r="C22" s="94"/>
      <c r="D22" s="97">
        <f>C3+1</f>
        <v>2010</v>
      </c>
      <c r="E22" s="97">
        <f t="shared" ref="E22:H22" si="4">D22+1</f>
        <v>2011</v>
      </c>
      <c r="F22" s="97">
        <f t="shared" si="4"/>
        <v>2012</v>
      </c>
      <c r="G22" s="97">
        <f t="shared" si="4"/>
        <v>2013</v>
      </c>
      <c r="H22" s="97">
        <f t="shared" si="4"/>
        <v>2014</v>
      </c>
      <c r="I22" s="94"/>
      <c r="J22" s="95"/>
    </row>
    <row r="23" spans="1:10" ht="15.75" thickBot="1">
      <c r="A23" s="93"/>
      <c r="B23" s="94"/>
      <c r="C23" s="94"/>
      <c r="D23" s="94"/>
      <c r="E23" s="94"/>
      <c r="F23" s="94"/>
      <c r="G23" s="94"/>
      <c r="H23" s="94"/>
      <c r="I23" s="94"/>
      <c r="J23" s="95"/>
    </row>
    <row r="24" spans="1:10">
      <c r="A24" s="93"/>
      <c r="B24" s="101" t="s">
        <v>10</v>
      </c>
      <c r="C24" s="94"/>
      <c r="D24" s="98">
        <f>D5*(1+'Supuestos Iniciales_n'!$C27)</f>
        <v>20482.743750000001</v>
      </c>
      <c r="E24" s="24">
        <f>E5*(1+'Supuestos Iniciales_n'!$C27)</f>
        <v>21506.880937499998</v>
      </c>
      <c r="F24" s="24">
        <f>F5*(1+'Supuestos Iniciales_n'!$C27)</f>
        <v>22582.224984375003</v>
      </c>
      <c r="G24" s="24">
        <f>G5*(1+'Supuestos Iniciales_n'!$C27)</f>
        <v>23711.336233593753</v>
      </c>
      <c r="H24" s="25">
        <f>H5*(1+'Supuestos Iniciales_n'!$C27)</f>
        <v>24896.903045273437</v>
      </c>
      <c r="I24" s="94"/>
      <c r="J24" s="95"/>
    </row>
    <row r="25" spans="1:10">
      <c r="A25" s="93"/>
      <c r="B25" s="102" t="s">
        <v>62</v>
      </c>
      <c r="C25" s="94"/>
      <c r="D25" s="61">
        <f>D6*(1+'Supuestos Iniciales_n'!$C28)</f>
        <v>498.52499999999998</v>
      </c>
      <c r="E25" s="55">
        <f>E6*(1+'Supuestos Iniciales_n'!$C28)</f>
        <v>508.49549999999999</v>
      </c>
      <c r="F25" s="55">
        <f>F6*(1+'Supuestos Iniciales_n'!$C28)</f>
        <v>518.66541000000007</v>
      </c>
      <c r="G25" s="55">
        <f>G6*(1+'Supuestos Iniciales_n'!$C28)</f>
        <v>529.03871820000006</v>
      </c>
      <c r="H25" s="58">
        <f>H6*(1+'Supuestos Iniciales_n'!$C28)</f>
        <v>539.61949256399998</v>
      </c>
      <c r="I25" s="94"/>
      <c r="J25" s="95"/>
    </row>
    <row r="26" spans="1:10">
      <c r="A26" s="93"/>
      <c r="B26" s="102" t="s">
        <v>59</v>
      </c>
      <c r="C26" s="94"/>
      <c r="D26" s="61">
        <f>D7*(1+'Supuestos Iniciales_n'!$C29)</f>
        <v>0</v>
      </c>
      <c r="E26" s="55">
        <f>E7*(1+'Supuestos Iniciales_n'!$C29)</f>
        <v>0</v>
      </c>
      <c r="F26" s="55">
        <f>F7*(1+'Supuestos Iniciales_n'!$C29)</f>
        <v>0</v>
      </c>
      <c r="G26" s="55">
        <f>G7*(1+'Supuestos Iniciales_n'!$C29)</f>
        <v>0</v>
      </c>
      <c r="H26" s="58">
        <f>H7*(1+'Supuestos Iniciales_n'!$C29)</f>
        <v>0</v>
      </c>
      <c r="I26" s="94"/>
      <c r="J26" s="95"/>
    </row>
    <row r="27" spans="1:10">
      <c r="A27" s="93"/>
      <c r="B27" s="102" t="s">
        <v>78</v>
      </c>
      <c r="C27" s="94"/>
      <c r="D27" s="61">
        <f>D8*(1+'Supuestos Iniciales_n'!$C30)</f>
        <v>0</v>
      </c>
      <c r="E27" s="55">
        <f>E8*(1+'Supuestos Iniciales_n'!$C30)</f>
        <v>0</v>
      </c>
      <c r="F27" s="55">
        <f>F8*(1+'Supuestos Iniciales_n'!$C30)</f>
        <v>0</v>
      </c>
      <c r="G27" s="55">
        <f>G8*(1+'Supuestos Iniciales_n'!$C30)</f>
        <v>0</v>
      </c>
      <c r="H27" s="58">
        <f>H8*(1+'Supuestos Iniciales_n'!$C30)</f>
        <v>0</v>
      </c>
      <c r="I27" s="94"/>
      <c r="J27" s="95"/>
    </row>
    <row r="28" spans="1:10">
      <c r="A28" s="93"/>
      <c r="B28" s="102" t="s">
        <v>61</v>
      </c>
      <c r="C28" s="94"/>
      <c r="D28" s="61">
        <f>D9*(1+'Supuestos Iniciales_n'!$C31)</f>
        <v>0</v>
      </c>
      <c r="E28" s="55">
        <f>E9*(1+'Supuestos Iniciales_n'!$C31)</f>
        <v>0</v>
      </c>
      <c r="F28" s="55">
        <f>F9*(1+'Supuestos Iniciales_n'!$C31)</f>
        <v>0</v>
      </c>
      <c r="G28" s="55">
        <f>G9*(1+'Supuestos Iniciales_n'!$C31)</f>
        <v>0</v>
      </c>
      <c r="H28" s="58">
        <f>H9*(1+'Supuestos Iniciales_n'!$C31)</f>
        <v>0</v>
      </c>
      <c r="I28" s="94"/>
      <c r="J28" s="95"/>
    </row>
    <row r="29" spans="1:10">
      <c r="A29" s="93"/>
      <c r="B29" s="102" t="s">
        <v>63</v>
      </c>
      <c r="C29" s="94"/>
      <c r="D29" s="61">
        <f>D10*(1+'Supuestos Iniciales_n'!$C32)</f>
        <v>4530.5951999999997</v>
      </c>
      <c r="E29" s="55">
        <f>E10*(1+'Supuestos Iniciales_n'!$C32)</f>
        <v>4621.2071040000001</v>
      </c>
      <c r="F29" s="55">
        <f>F10*(1+'Supuestos Iniciales_n'!$C32)</f>
        <v>4713.6312460800009</v>
      </c>
      <c r="G29" s="55">
        <f>G10*(1+'Supuestos Iniciales_n'!$C32)</f>
        <v>4807.9038710016011</v>
      </c>
      <c r="H29" s="58">
        <f>H10*(1+'Supuestos Iniciales_n'!$C32)</f>
        <v>4904.0619484216331</v>
      </c>
      <c r="I29" s="94"/>
      <c r="J29" s="95"/>
    </row>
    <row r="30" spans="1:10">
      <c r="A30" s="93"/>
      <c r="B30" s="102" t="s">
        <v>64</v>
      </c>
      <c r="C30" s="94"/>
      <c r="D30" s="61">
        <f>D11*(1+'Supuestos Iniciales_n'!$C33)</f>
        <v>12523.417199999998</v>
      </c>
      <c r="E30" s="55">
        <f>E11*(1+'Supuestos Iniciales_n'!$C33)</f>
        <v>12773.885544000001</v>
      </c>
      <c r="F30" s="55">
        <f>F11*(1+'Supuestos Iniciales_n'!$C33)</f>
        <v>13029.36325488</v>
      </c>
      <c r="G30" s="55">
        <f>G11*(1+'Supuestos Iniciales_n'!$C33)</f>
        <v>13289.950519977599</v>
      </c>
      <c r="H30" s="58">
        <f>H11*(1+'Supuestos Iniciales_n'!$C33)</f>
        <v>13555.74953037715</v>
      </c>
      <c r="I30" s="94"/>
      <c r="J30" s="95"/>
    </row>
    <row r="31" spans="1:10">
      <c r="A31" s="93"/>
      <c r="B31" s="103" t="s">
        <v>5</v>
      </c>
      <c r="C31" s="94"/>
      <c r="D31" s="61">
        <f>D12*(1+'Supuestos Iniciales_n'!$C34)</f>
        <v>364.18725000000001</v>
      </c>
      <c r="E31" s="55">
        <f>E12*(1+'Supuestos Iniciales_n'!$C34)</f>
        <v>382.3966125</v>
      </c>
      <c r="F31" s="55">
        <f>F12*(1+'Supuestos Iniciales_n'!$C34)</f>
        <v>401.51644312500002</v>
      </c>
      <c r="G31" s="55">
        <f>G12*(1+'Supuestos Iniciales_n'!$C34)</f>
        <v>421.59226528125009</v>
      </c>
      <c r="H31" s="58">
        <f>H12*(1+'Supuestos Iniciales_n'!$C34)</f>
        <v>442.67187854531255</v>
      </c>
      <c r="I31" s="94"/>
      <c r="J31" s="95"/>
    </row>
    <row r="32" spans="1:10">
      <c r="A32" s="93"/>
      <c r="B32" s="59" t="s">
        <v>11</v>
      </c>
      <c r="C32" s="94"/>
      <c r="D32" s="62">
        <f t="shared" ref="D32:H32" si="5">D24+D25+D26+D27-D28-D29-D30-D31</f>
        <v>3563.0691000000052</v>
      </c>
      <c r="E32" s="56">
        <f t="shared" si="5"/>
        <v>4237.8871769999978</v>
      </c>
      <c r="F32" s="56">
        <f t="shared" si="5"/>
        <v>4956.3794502900055</v>
      </c>
      <c r="G32" s="56">
        <f t="shared" si="5"/>
        <v>5720.9282955333019</v>
      </c>
      <c r="H32" s="57">
        <f t="shared" si="5"/>
        <v>6534.0391804933424</v>
      </c>
      <c r="I32" s="94"/>
      <c r="J32" s="95"/>
    </row>
    <row r="33" spans="1:10">
      <c r="A33" s="93"/>
      <c r="B33" s="102" t="s">
        <v>65</v>
      </c>
      <c r="C33" s="94"/>
      <c r="D33" s="61">
        <f>D14*(1+'Supuestos Iniciales_n'!$C$35)</f>
        <v>494.375</v>
      </c>
      <c r="E33" s="55">
        <f>E14*(1+'Supuestos Iniciales_n'!$C$35)</f>
        <v>494.375</v>
      </c>
      <c r="F33" s="55">
        <f>F14*(1+'Supuestos Iniciales_n'!$C$35)</f>
        <v>494.375</v>
      </c>
      <c r="G33" s="55">
        <f>G14*(1+'Supuestos Iniciales_n'!$C$35)</f>
        <v>494.375</v>
      </c>
      <c r="H33" s="58">
        <f>H14*(1+'Supuestos Iniciales_n'!$C$35)</f>
        <v>494.375</v>
      </c>
      <c r="I33" s="94"/>
      <c r="J33" s="95"/>
    </row>
    <row r="34" spans="1:10">
      <c r="A34" s="93"/>
      <c r="B34" s="102" t="s">
        <v>66</v>
      </c>
      <c r="C34" s="94"/>
      <c r="D34" s="61">
        <f>D15*(1+'Supuestos Iniciales_n'!$C$36)</f>
        <v>523.37250000000006</v>
      </c>
      <c r="E34" s="55">
        <f>E15*(1+'Supuestos Iniciales_n'!$C$36)</f>
        <v>549.54112500000008</v>
      </c>
      <c r="F34" s="55">
        <f>F15*(1+'Supuestos Iniciales_n'!$C$36)</f>
        <v>577.01818125000011</v>
      </c>
      <c r="G34" s="55">
        <f>G15*(1+'Supuestos Iniciales_n'!$C$36)</f>
        <v>605.86909031250013</v>
      </c>
      <c r="H34" s="58">
        <f>H15*(1+'Supuestos Iniciales_n'!$C$36)</f>
        <v>636.16254482812519</v>
      </c>
      <c r="I34" s="94"/>
      <c r="J34" s="95"/>
    </row>
    <row r="35" spans="1:10">
      <c r="A35" s="93"/>
      <c r="B35" s="59" t="s">
        <v>67</v>
      </c>
      <c r="C35" s="94"/>
      <c r="D35" s="62">
        <f>D32+D33-D34</f>
        <v>3534.0716000000052</v>
      </c>
      <c r="E35" s="56">
        <f t="shared" ref="E35:H35" si="6">E32+E33-E34</f>
        <v>4182.7210519999981</v>
      </c>
      <c r="F35" s="56">
        <f t="shared" si="6"/>
        <v>4873.736269040005</v>
      </c>
      <c r="G35" s="56">
        <f t="shared" si="6"/>
        <v>5609.4342052208021</v>
      </c>
      <c r="H35" s="57">
        <f t="shared" si="6"/>
        <v>6392.2516356652177</v>
      </c>
      <c r="I35" s="94"/>
      <c r="J35" s="95"/>
    </row>
    <row r="36" spans="1:10">
      <c r="A36" s="93"/>
      <c r="B36" s="102" t="s">
        <v>68</v>
      </c>
      <c r="C36" s="94"/>
      <c r="D36" s="61">
        <f>IF(D35&lt;0,0,D35*'Supuestos Iniciales_n'!$C$52)</f>
        <v>1060.2214800000015</v>
      </c>
      <c r="E36" s="55">
        <f>IF(E35&lt;0,0,E35*'Supuestos Iniciales_n'!$C$52)</f>
        <v>1254.8163155999994</v>
      </c>
      <c r="F36" s="55">
        <f>IF(F35&lt;0,0,F35*'Supuestos Iniciales_n'!$C$52)</f>
        <v>1462.1208807120015</v>
      </c>
      <c r="G36" s="55">
        <f>IF(G35&lt;0,0,G35*'Supuestos Iniciales_n'!$C$52)</f>
        <v>1682.8302615662406</v>
      </c>
      <c r="H36" s="58">
        <f>IF(H35&lt;0,0,H35*'Supuestos Iniciales_n'!$C$52)</f>
        <v>1917.6754906995652</v>
      </c>
      <c r="I36" s="94"/>
      <c r="J36" s="95"/>
    </row>
    <row r="37" spans="1:10" ht="15.75" thickBot="1">
      <c r="A37" s="93"/>
      <c r="B37" s="60" t="s">
        <v>12</v>
      </c>
      <c r="C37" s="94"/>
      <c r="D37" s="31">
        <f>D35-D36</f>
        <v>2473.8501200000037</v>
      </c>
      <c r="E37" s="33">
        <f t="shared" ref="E37:H37" si="7">E35-E36</f>
        <v>2927.9047363999989</v>
      </c>
      <c r="F37" s="33">
        <f t="shared" si="7"/>
        <v>3411.6153883280035</v>
      </c>
      <c r="G37" s="33">
        <f t="shared" si="7"/>
        <v>3926.6039436545616</v>
      </c>
      <c r="H37" s="34">
        <f t="shared" si="7"/>
        <v>4474.5761449656529</v>
      </c>
      <c r="I37" s="94"/>
      <c r="J37" s="95"/>
    </row>
    <row r="38" spans="1:10">
      <c r="A38" s="93"/>
      <c r="B38" s="94"/>
      <c r="C38" s="94"/>
      <c r="D38" s="94"/>
      <c r="E38" s="94"/>
      <c r="F38" s="94"/>
      <c r="G38" s="94"/>
      <c r="H38" s="94"/>
      <c r="I38" s="94"/>
      <c r="J38" s="95"/>
    </row>
    <row r="39" spans="1:10" ht="15.75" thickBot="1">
      <c r="A39" s="93"/>
      <c r="B39" s="94"/>
      <c r="C39" s="94"/>
      <c r="D39" s="94"/>
      <c r="E39" s="94"/>
      <c r="F39" s="94"/>
      <c r="G39" s="94"/>
      <c r="H39" s="94"/>
      <c r="I39" s="94"/>
      <c r="J39" s="95"/>
    </row>
    <row r="40" spans="1:10" ht="15.75" thickBot="1">
      <c r="A40" s="93"/>
      <c r="B40" s="22" t="s">
        <v>107</v>
      </c>
      <c r="C40" s="94"/>
      <c r="D40" s="94"/>
      <c r="E40" s="94"/>
      <c r="F40" s="94"/>
      <c r="G40" s="94"/>
      <c r="H40" s="94"/>
      <c r="I40" s="94"/>
      <c r="J40" s="95"/>
    </row>
    <row r="41" spans="1:10" ht="15.75" thickBot="1">
      <c r="A41" s="93"/>
      <c r="B41" s="94"/>
      <c r="C41" s="94"/>
      <c r="D41" s="97">
        <f>C3+1</f>
        <v>2010</v>
      </c>
      <c r="E41" s="97">
        <f t="shared" ref="E41:H41" si="8">D41+1</f>
        <v>2011</v>
      </c>
      <c r="F41" s="97">
        <f t="shared" si="8"/>
        <v>2012</v>
      </c>
      <c r="G41" s="97">
        <f t="shared" si="8"/>
        <v>2013</v>
      </c>
      <c r="H41" s="97">
        <f t="shared" si="8"/>
        <v>2014</v>
      </c>
      <c r="I41" s="94"/>
      <c r="J41" s="95"/>
    </row>
    <row r="42" spans="1:10" ht="15.75" thickBot="1">
      <c r="A42" s="93"/>
      <c r="B42" s="94"/>
      <c r="C42" s="94"/>
      <c r="D42" s="94"/>
      <c r="E42" s="94"/>
      <c r="F42" s="94"/>
      <c r="G42" s="94"/>
      <c r="H42" s="94"/>
      <c r="I42" s="94"/>
      <c r="J42" s="95"/>
    </row>
    <row r="43" spans="1:10">
      <c r="A43" s="93"/>
      <c r="B43" s="101" t="s">
        <v>10</v>
      </c>
      <c r="C43" s="94"/>
      <c r="D43" s="98">
        <f>D5*(1+'Supuestos Iniciales_n'!$F27)</f>
        <v>12289.64625</v>
      </c>
      <c r="E43" s="24">
        <f>E5*(1+'Supuestos Iniciales_n'!$F27)</f>
        <v>12904.1285625</v>
      </c>
      <c r="F43" s="24">
        <f>F5*(1+'Supuestos Iniciales_n'!$F27)</f>
        <v>13549.334990625001</v>
      </c>
      <c r="G43" s="24">
        <f>G5*(1+'Supuestos Iniciales_n'!$F27)</f>
        <v>14226.80174015625</v>
      </c>
      <c r="H43" s="25">
        <f>H5*(1+'Supuestos Iniciales_n'!$F27)</f>
        <v>14938.141827164063</v>
      </c>
      <c r="I43" s="94"/>
      <c r="J43" s="95"/>
    </row>
    <row r="44" spans="1:10">
      <c r="A44" s="93"/>
      <c r="B44" s="102" t="s">
        <v>62</v>
      </c>
      <c r="C44" s="94"/>
      <c r="D44" s="61">
        <f>D6*(1+'Supuestos Iniciales_n'!$F28)</f>
        <v>299.11500000000001</v>
      </c>
      <c r="E44" s="55">
        <f>E6*(1+'Supuestos Iniciales_n'!$F28)</f>
        <v>305.09730000000002</v>
      </c>
      <c r="F44" s="55">
        <f>F6*(1+'Supuestos Iniciales_n'!$F28)</f>
        <v>311.19924600000002</v>
      </c>
      <c r="G44" s="55">
        <f>G6*(1+'Supuestos Iniciales_n'!$F28)</f>
        <v>317.42323092000004</v>
      </c>
      <c r="H44" s="58">
        <f>H6*(1+'Supuestos Iniciales_n'!$F28)</f>
        <v>323.77169553840002</v>
      </c>
      <c r="I44" s="94"/>
      <c r="J44" s="95"/>
    </row>
    <row r="45" spans="1:10">
      <c r="A45" s="93"/>
      <c r="B45" s="102" t="s">
        <v>59</v>
      </c>
      <c r="C45" s="94"/>
      <c r="D45" s="61">
        <f>D7*(1+'Supuestos Iniciales_n'!$F29)</f>
        <v>0</v>
      </c>
      <c r="E45" s="55">
        <f>E7*(1+'Supuestos Iniciales_n'!$F29)</f>
        <v>0</v>
      </c>
      <c r="F45" s="55">
        <f>F7*(1+'Supuestos Iniciales_n'!$F29)</f>
        <v>0</v>
      </c>
      <c r="G45" s="55">
        <f>G7*(1+'Supuestos Iniciales_n'!$F29)</f>
        <v>0</v>
      </c>
      <c r="H45" s="58">
        <f>H7*(1+'Supuestos Iniciales_n'!$F29)</f>
        <v>0</v>
      </c>
      <c r="I45" s="94"/>
      <c r="J45" s="95"/>
    </row>
    <row r="46" spans="1:10">
      <c r="A46" s="93"/>
      <c r="B46" s="102" t="s">
        <v>78</v>
      </c>
      <c r="C46" s="94"/>
      <c r="D46" s="61">
        <f>D8*(1+'Supuestos Iniciales_n'!$F30)</f>
        <v>0</v>
      </c>
      <c r="E46" s="55">
        <f>E8*(1+'Supuestos Iniciales_n'!$F30)</f>
        <v>0</v>
      </c>
      <c r="F46" s="55">
        <f>F8*(1+'Supuestos Iniciales_n'!$F30)</f>
        <v>0</v>
      </c>
      <c r="G46" s="55">
        <f>G8*(1+'Supuestos Iniciales_n'!$F30)</f>
        <v>0</v>
      </c>
      <c r="H46" s="58">
        <f>H8*(1+'Supuestos Iniciales_n'!$F30)</f>
        <v>0</v>
      </c>
      <c r="I46" s="94"/>
      <c r="J46" s="95"/>
    </row>
    <row r="47" spans="1:10">
      <c r="A47" s="93"/>
      <c r="B47" s="102" t="s">
        <v>61</v>
      </c>
      <c r="C47" s="94"/>
      <c r="D47" s="61">
        <f>D9*(1+'Supuestos Iniciales_n'!$F31)</f>
        <v>0</v>
      </c>
      <c r="E47" s="55">
        <f>E9*(1+'Supuestos Iniciales_n'!$F31)</f>
        <v>0</v>
      </c>
      <c r="F47" s="55">
        <f>F9*(1+'Supuestos Iniciales_n'!$F31)</f>
        <v>0</v>
      </c>
      <c r="G47" s="55">
        <f>G9*(1+'Supuestos Iniciales_n'!$F31)</f>
        <v>0</v>
      </c>
      <c r="H47" s="58">
        <f>H9*(1+'Supuestos Iniciales_n'!$F31)</f>
        <v>0</v>
      </c>
      <c r="I47" s="94"/>
      <c r="J47" s="95"/>
    </row>
    <row r="48" spans="1:10">
      <c r="A48" s="93"/>
      <c r="B48" s="102" t="s">
        <v>63</v>
      </c>
      <c r="C48" s="94"/>
      <c r="D48" s="61">
        <f>D10*(1+'Supuestos Iniciales_n'!$F32)</f>
        <v>3348.7008000000001</v>
      </c>
      <c r="E48" s="55">
        <f>E10*(1+'Supuestos Iniciales_n'!$F32)</f>
        <v>3415.6748160000002</v>
      </c>
      <c r="F48" s="55">
        <f>F10*(1+'Supuestos Iniciales_n'!$F32)</f>
        <v>3483.9883123200007</v>
      </c>
      <c r="G48" s="55">
        <f>G10*(1+'Supuestos Iniciales_n'!$F32)</f>
        <v>3553.6680785664007</v>
      </c>
      <c r="H48" s="58">
        <f>H10*(1+'Supuestos Iniciales_n'!$F32)</f>
        <v>3624.7414401377291</v>
      </c>
      <c r="I48" s="94"/>
      <c r="J48" s="95"/>
    </row>
    <row r="49" spans="1:10">
      <c r="A49" s="93"/>
      <c r="B49" s="102" t="s">
        <v>64</v>
      </c>
      <c r="C49" s="94"/>
      <c r="D49" s="61">
        <f>D11*(1+'Supuestos Iniciales_n'!$F33)</f>
        <v>9256.4387999999999</v>
      </c>
      <c r="E49" s="55">
        <f>E11*(1+'Supuestos Iniciales_n'!$F33)</f>
        <v>9441.5675760000013</v>
      </c>
      <c r="F49" s="55">
        <f>F11*(1+'Supuestos Iniciales_n'!$F33)</f>
        <v>9630.3989275200001</v>
      </c>
      <c r="G49" s="55">
        <f>G11*(1+'Supuestos Iniciales_n'!$F33)</f>
        <v>9823.0069060703991</v>
      </c>
      <c r="H49" s="58">
        <f>H11*(1+'Supuestos Iniciales_n'!$F33)</f>
        <v>10019.467044191808</v>
      </c>
      <c r="I49" s="94"/>
      <c r="J49" s="95"/>
    </row>
    <row r="50" spans="1:10">
      <c r="A50" s="93"/>
      <c r="B50" s="103" t="s">
        <v>5</v>
      </c>
      <c r="C50" s="94"/>
      <c r="D50" s="61">
        <f>D12*(1+'Supuestos Iniciales_n'!$F34)</f>
        <v>402.52275000000003</v>
      </c>
      <c r="E50" s="55">
        <f>E12*(1+'Supuestos Iniciales_n'!$F34)</f>
        <v>422.64888750000006</v>
      </c>
      <c r="F50" s="55">
        <f>F12*(1+'Supuestos Iniciales_n'!$F34)</f>
        <v>443.78133187500009</v>
      </c>
      <c r="G50" s="55">
        <f>G12*(1+'Supuestos Iniciales_n'!$F34)</f>
        <v>465.97039846875009</v>
      </c>
      <c r="H50" s="58">
        <f>H12*(1+'Supuestos Iniciales_n'!$F34)</f>
        <v>489.26891839218763</v>
      </c>
      <c r="I50" s="94"/>
      <c r="J50" s="95"/>
    </row>
    <row r="51" spans="1:10">
      <c r="A51" s="93"/>
      <c r="B51" s="59" t="s">
        <v>11</v>
      </c>
      <c r="C51" s="94"/>
      <c r="D51" s="62">
        <f t="shared" ref="D51:H51" si="9">D43+D44+D45+D46-D47-D48-D49-D50</f>
        <v>-418.90110000000089</v>
      </c>
      <c r="E51" s="56">
        <f t="shared" si="9"/>
        <v>-70.665417000002492</v>
      </c>
      <c r="F51" s="56">
        <f t="shared" si="9"/>
        <v>302.36566490999883</v>
      </c>
      <c r="G51" s="56">
        <f t="shared" si="9"/>
        <v>701.57958797069955</v>
      </c>
      <c r="H51" s="57">
        <f t="shared" si="9"/>
        <v>1128.4361199807399</v>
      </c>
      <c r="I51" s="94"/>
      <c r="J51" s="95"/>
    </row>
    <row r="52" spans="1:10">
      <c r="A52" s="93"/>
      <c r="B52" s="102" t="s">
        <v>65</v>
      </c>
      <c r="C52" s="94"/>
      <c r="D52" s="61">
        <f>D14*(1+'Supuestos Iniciales_n'!$F$35)</f>
        <v>296.625</v>
      </c>
      <c r="E52" s="55">
        <f>E14*(1+'Supuestos Iniciales_n'!$F$35)</f>
        <v>296.625</v>
      </c>
      <c r="F52" s="55">
        <f>F14*(1+'Supuestos Iniciales_n'!$F$35)</f>
        <v>296.625</v>
      </c>
      <c r="G52" s="55">
        <f>G14*(1+'Supuestos Iniciales_n'!$F$35)</f>
        <v>296.625</v>
      </c>
      <c r="H52" s="58">
        <f>H14*(1+'Supuestos Iniciales_n'!$F$35)</f>
        <v>296.625</v>
      </c>
      <c r="I52" s="94"/>
      <c r="J52" s="95"/>
    </row>
    <row r="53" spans="1:10">
      <c r="A53" s="93"/>
      <c r="B53" s="102" t="s">
        <v>66</v>
      </c>
      <c r="C53" s="94"/>
      <c r="D53" s="61">
        <f>D15*(1+'Supuestos Iniciales_n'!$F$36)</f>
        <v>872.28750000000002</v>
      </c>
      <c r="E53" s="55">
        <f>E15*(1+'Supuestos Iniciales_n'!$F$36)</f>
        <v>915.90187500000013</v>
      </c>
      <c r="F53" s="55">
        <f>F15*(1+'Supuestos Iniciales_n'!$F$36)</f>
        <v>961.69696875000011</v>
      </c>
      <c r="G53" s="55">
        <f>G15*(1+'Supuestos Iniciales_n'!$F$36)</f>
        <v>1009.7818171875002</v>
      </c>
      <c r="H53" s="58">
        <f>H15*(1+'Supuestos Iniciales_n'!$F$36)</f>
        <v>1060.2709080468753</v>
      </c>
      <c r="I53" s="94"/>
      <c r="J53" s="95"/>
    </row>
    <row r="54" spans="1:10">
      <c r="A54" s="93"/>
      <c r="B54" s="59" t="s">
        <v>67</v>
      </c>
      <c r="C54" s="94"/>
      <c r="D54" s="62">
        <f>D51+D52-D53</f>
        <v>-994.56360000000086</v>
      </c>
      <c r="E54" s="56">
        <f t="shared" ref="E54:H54" si="10">E51+E52-E53</f>
        <v>-689.94229200000268</v>
      </c>
      <c r="F54" s="56">
        <f t="shared" si="10"/>
        <v>-362.70630384000128</v>
      </c>
      <c r="G54" s="56">
        <f t="shared" si="10"/>
        <v>-11.577229216800674</v>
      </c>
      <c r="H54" s="57">
        <f t="shared" si="10"/>
        <v>364.79021193386461</v>
      </c>
      <c r="I54" s="94"/>
      <c r="J54" s="95"/>
    </row>
    <row r="55" spans="1:10">
      <c r="A55" s="93"/>
      <c r="B55" s="102" t="s">
        <v>68</v>
      </c>
      <c r="C55" s="94"/>
      <c r="D55" s="61">
        <f>IF(D54&lt;0,0,D54*'Supuestos Iniciales_n'!$C$52)</f>
        <v>0</v>
      </c>
      <c r="E55" s="55">
        <f>IF(E54&lt;0,0,E54*'Supuestos Iniciales_n'!$C$52)</f>
        <v>0</v>
      </c>
      <c r="F55" s="55">
        <f>IF(F54&lt;0,0,F54*'Supuestos Iniciales_n'!$C$52)</f>
        <v>0</v>
      </c>
      <c r="G55" s="55">
        <f>IF(G54&lt;0,0,G54*'Supuestos Iniciales_n'!$C$52)</f>
        <v>0</v>
      </c>
      <c r="H55" s="58">
        <f>IF(H54&lt;0,0,H54*'Supuestos Iniciales_n'!$C$52)</f>
        <v>109.43706358015937</v>
      </c>
      <c r="I55" s="94"/>
      <c r="J55" s="95"/>
    </row>
    <row r="56" spans="1:10" ht="15.75" thickBot="1">
      <c r="A56" s="93"/>
      <c r="B56" s="60" t="s">
        <v>12</v>
      </c>
      <c r="C56" s="94"/>
      <c r="D56" s="31">
        <f>D54-D55</f>
        <v>-994.56360000000086</v>
      </c>
      <c r="E56" s="33">
        <f t="shared" ref="E56:H56" si="11">E54-E55</f>
        <v>-689.94229200000268</v>
      </c>
      <c r="F56" s="33">
        <f t="shared" si="11"/>
        <v>-362.70630384000128</v>
      </c>
      <c r="G56" s="33">
        <f t="shared" si="11"/>
        <v>-11.577229216800674</v>
      </c>
      <c r="H56" s="34">
        <f t="shared" si="11"/>
        <v>255.35314835370525</v>
      </c>
      <c r="I56" s="94"/>
      <c r="J56" s="95"/>
    </row>
    <row r="57" spans="1:10">
      <c r="A57" s="93"/>
      <c r="B57" s="94"/>
      <c r="C57" s="94"/>
      <c r="D57" s="94"/>
      <c r="E57" s="94"/>
      <c r="F57" s="94"/>
      <c r="G57" s="94"/>
      <c r="H57" s="94"/>
      <c r="I57" s="94"/>
      <c r="J57" s="95"/>
    </row>
    <row r="58" spans="1:10">
      <c r="A58" s="93"/>
      <c r="B58" s="94"/>
      <c r="C58" s="94"/>
      <c r="D58" s="94"/>
      <c r="E58" s="94"/>
      <c r="F58" s="94"/>
      <c r="G58" s="94"/>
      <c r="H58" s="94"/>
      <c r="I58" s="94"/>
      <c r="J58" s="95"/>
    </row>
    <row r="59" spans="1:10">
      <c r="A59" s="93"/>
      <c r="B59" s="94"/>
      <c r="C59" s="94"/>
      <c r="D59" s="94"/>
      <c r="E59" s="94"/>
      <c r="F59" s="94"/>
      <c r="G59" s="94"/>
      <c r="H59" s="94"/>
      <c r="I59" s="94"/>
      <c r="J59" s="95"/>
    </row>
    <row r="60" spans="1:10">
      <c r="A60" s="93"/>
      <c r="B60" s="94"/>
      <c r="C60" s="94"/>
      <c r="D60" s="94"/>
      <c r="E60" s="94"/>
      <c r="F60" s="94"/>
      <c r="G60" s="94"/>
      <c r="H60" s="94"/>
      <c r="I60" s="94"/>
      <c r="J60" s="95"/>
    </row>
    <row r="61" spans="1:10">
      <c r="A61" s="93"/>
      <c r="B61" s="94"/>
      <c r="C61" s="94"/>
      <c r="D61" s="94"/>
      <c r="E61" s="94"/>
      <c r="F61" s="94"/>
      <c r="G61" s="94"/>
      <c r="H61" s="94"/>
      <c r="I61" s="94"/>
      <c r="J61" s="95"/>
    </row>
    <row r="62" spans="1:10">
      <c r="A62" s="93"/>
      <c r="B62" s="94"/>
      <c r="C62" s="94"/>
      <c r="D62" s="94"/>
      <c r="E62" s="94"/>
      <c r="F62" s="94"/>
      <c r="G62" s="94"/>
      <c r="H62" s="94"/>
      <c r="I62" s="94"/>
      <c r="J62" s="95"/>
    </row>
    <row r="63" spans="1:10">
      <c r="A63" s="93"/>
      <c r="B63" s="94"/>
      <c r="C63" s="94"/>
      <c r="D63" s="94"/>
      <c r="E63" s="94"/>
      <c r="F63" s="94"/>
      <c r="G63" s="94"/>
      <c r="H63" s="94"/>
      <c r="I63" s="94"/>
      <c r="J63" s="95"/>
    </row>
    <row r="64" spans="1:10" ht="15.75" thickBot="1">
      <c r="A64" s="104"/>
      <c r="B64" s="105"/>
      <c r="C64" s="105"/>
      <c r="D64" s="105"/>
      <c r="E64" s="105"/>
      <c r="F64" s="105"/>
      <c r="G64" s="105"/>
      <c r="H64" s="105"/>
      <c r="I64" s="105"/>
      <c r="J64" s="106"/>
    </row>
  </sheetData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Hoja28"/>
  <dimension ref="A1:L43"/>
  <sheetViews>
    <sheetView zoomScale="80" zoomScaleNormal="80" workbookViewId="0"/>
  </sheetViews>
  <sheetFormatPr baseColWidth="10" defaultRowHeight="15"/>
  <cols>
    <col min="1" max="1" width="4.7109375" style="92" customWidth="1"/>
    <col min="2" max="2" width="22" style="92" bestFit="1" customWidth="1"/>
    <col min="3" max="3" width="32.7109375" style="92" bestFit="1" customWidth="1"/>
    <col min="4" max="4" width="13.7109375" style="92" bestFit="1" customWidth="1"/>
    <col min="5" max="5" width="11.5703125" style="92" bestFit="1" customWidth="1"/>
    <col min="6" max="6" width="12" style="92" customWidth="1"/>
    <col min="7" max="7" width="11.7109375" style="92" bestFit="1" customWidth="1"/>
    <col min="8" max="8" width="13.5703125" style="92" bestFit="1" customWidth="1"/>
    <col min="9" max="11" width="11.5703125" style="92" bestFit="1" customWidth="1"/>
    <col min="12" max="16384" width="11.42578125" style="92"/>
  </cols>
  <sheetData>
    <row r="1" spans="1:12" ht="15.75" thickBot="1">
      <c r="A1" s="89"/>
      <c r="B1" s="90"/>
      <c r="C1" s="90"/>
      <c r="D1" s="90"/>
      <c r="E1" s="90"/>
      <c r="F1" s="90"/>
      <c r="G1" s="90"/>
      <c r="H1" s="90"/>
      <c r="I1" s="90"/>
      <c r="J1" s="90"/>
      <c r="K1" s="90"/>
      <c r="L1" s="91"/>
    </row>
    <row r="2" spans="1:12" ht="15.75" thickBot="1">
      <c r="A2" s="93"/>
      <c r="B2" s="185" t="s">
        <v>39</v>
      </c>
      <c r="C2" s="186"/>
      <c r="D2" s="94"/>
      <c r="E2" s="94"/>
      <c r="F2" s="94"/>
      <c r="G2" s="94"/>
      <c r="H2" s="94"/>
      <c r="I2" s="94"/>
      <c r="J2" s="94"/>
      <c r="K2" s="94"/>
      <c r="L2" s="95"/>
    </row>
    <row r="3" spans="1:12" ht="15.75" thickBot="1">
      <c r="A3" s="93"/>
      <c r="B3" s="94" t="str">
        <f>'Supuestos Iniciales_n'!F10</f>
        <v>Millones de Euros</v>
      </c>
      <c r="C3" s="94"/>
      <c r="D3" s="64">
        <f>PyG_5n!D3</f>
        <v>2010</v>
      </c>
      <c r="E3" s="64">
        <f>PyG_5n!E3</f>
        <v>2011</v>
      </c>
      <c r="F3" s="64">
        <f>PyG_5n!F3</f>
        <v>2012</v>
      </c>
      <c r="G3" s="64">
        <f>PyG_5n!G3</f>
        <v>2013</v>
      </c>
      <c r="H3" s="64">
        <f>PyG_5n!H3</f>
        <v>2014</v>
      </c>
      <c r="I3" s="63" t="s">
        <v>3</v>
      </c>
      <c r="J3" s="94"/>
      <c r="K3" s="94"/>
      <c r="L3" s="95"/>
    </row>
    <row r="4" spans="1:12" ht="15.75" thickBot="1">
      <c r="A4" s="93"/>
      <c r="B4" s="94"/>
      <c r="C4" s="94"/>
      <c r="D4" s="94"/>
      <c r="E4" s="94"/>
      <c r="F4" s="94"/>
      <c r="G4" s="94"/>
      <c r="H4" s="94"/>
      <c r="I4" s="94"/>
      <c r="J4" s="94"/>
      <c r="K4" s="94"/>
      <c r="L4" s="95"/>
    </row>
    <row r="5" spans="1:12" ht="15.75" thickBot="1">
      <c r="A5" s="93"/>
      <c r="B5" s="182" t="s">
        <v>40</v>
      </c>
      <c r="C5" s="184"/>
      <c r="D5" s="134">
        <f>SUM(D6:D10)</f>
        <v>1560.0778000000005</v>
      </c>
      <c r="E5" s="134">
        <f t="shared" ref="E5:G5" si="0">SUM(E6:E10)</f>
        <v>1938.8396460000026</v>
      </c>
      <c r="F5" s="134">
        <f t="shared" si="0"/>
        <v>2342.5547434199975</v>
      </c>
      <c r="G5" s="134">
        <f t="shared" si="0"/>
        <v>2772.5910580133987</v>
      </c>
      <c r="H5" s="134">
        <f>SUM(H6:H10)</f>
        <v>3230.3873598849177</v>
      </c>
      <c r="I5" s="135">
        <f>H5/(H12-'Supuestos Iniciales_n'!C53)</f>
        <v>66335.298642247566</v>
      </c>
      <c r="J5" s="94"/>
      <c r="K5" s="94"/>
      <c r="L5" s="95"/>
    </row>
    <row r="6" spans="1:12">
      <c r="A6" s="93"/>
      <c r="B6" s="94"/>
      <c r="C6" s="94" t="s">
        <v>32</v>
      </c>
      <c r="D6" s="94">
        <f>PyG_5n!D13</f>
        <v>1572.0839999999985</v>
      </c>
      <c r="E6" s="94">
        <f>PyG_5n!E13</f>
        <v>2083.6108799999984</v>
      </c>
      <c r="F6" s="94">
        <f>PyG_5n!F13</f>
        <v>2629.3725575999993</v>
      </c>
      <c r="G6" s="94">
        <f>PyG_5n!G13</f>
        <v>3211.2539417519997</v>
      </c>
      <c r="H6" s="94">
        <f>PyG_5n!H13</f>
        <v>3831.2376502370416</v>
      </c>
      <c r="I6" s="94"/>
      <c r="J6" s="94"/>
      <c r="K6" s="94"/>
      <c r="L6" s="95"/>
    </row>
    <row r="7" spans="1:12">
      <c r="A7" s="93"/>
      <c r="B7" s="94"/>
      <c r="C7" s="94" t="s">
        <v>50</v>
      </c>
      <c r="D7" s="94">
        <f>-PyG_5n!D13*('Supuestos Iniciales_n'!$C$52)</f>
        <v>-471.6251999999995</v>
      </c>
      <c r="E7" s="94">
        <f>-PyG_5n!E13*('Supuestos Iniciales_n'!$C$52)</f>
        <v>-625.08326399999953</v>
      </c>
      <c r="F7" s="94">
        <f>-PyG_5n!F13*('Supuestos Iniciales_n'!$C$52)</f>
        <v>-788.8117672799998</v>
      </c>
      <c r="G7" s="94">
        <f>-PyG_5n!G13*('Supuestos Iniciales_n'!$C$52)</f>
        <v>-963.37618252559992</v>
      </c>
      <c r="H7" s="94">
        <f>-PyG_5n!H13*('Supuestos Iniciales_n'!$C$52)</f>
        <v>-1149.3712950711124</v>
      </c>
      <c r="I7" s="94"/>
      <c r="J7" s="94"/>
      <c r="K7" s="94"/>
      <c r="L7" s="95"/>
    </row>
    <row r="8" spans="1:12">
      <c r="A8" s="93"/>
      <c r="B8" s="94"/>
      <c r="C8" s="94" t="s">
        <v>27</v>
      </c>
      <c r="D8" s="94">
        <f>PyG_5n!D12</f>
        <v>383.35500000000002</v>
      </c>
      <c r="E8" s="94">
        <f>PyG_5n!E12</f>
        <v>402.52275000000003</v>
      </c>
      <c r="F8" s="94">
        <f>PyG_5n!F12</f>
        <v>422.64888750000006</v>
      </c>
      <c r="G8" s="94">
        <f>PyG_5n!G12</f>
        <v>443.78133187500009</v>
      </c>
      <c r="H8" s="94">
        <f>PyG_5n!H12</f>
        <v>465.97039846875009</v>
      </c>
      <c r="I8" s="94"/>
      <c r="J8" s="94"/>
      <c r="K8" s="94"/>
      <c r="L8" s="95"/>
    </row>
    <row r="9" spans="1:12">
      <c r="A9" s="93"/>
      <c r="B9" s="94"/>
      <c r="C9" s="94" t="s">
        <v>29</v>
      </c>
      <c r="D9" s="94">
        <f>-(Balance_5n!D6-Balance_5n!C6+D8)</f>
        <v>-119.52999999999929</v>
      </c>
      <c r="E9" s="94">
        <f>-(Balance_5n!E6-Balance_5n!D6+E8)</f>
        <v>-121.92059999999759</v>
      </c>
      <c r="F9" s="94">
        <f>-(Balance_5n!F6-Balance_5n!E6+F8)</f>
        <v>-124.35901200000131</v>
      </c>
      <c r="G9" s="94">
        <f>-(Balance_5n!G6-Balance_5n!F6+G8)</f>
        <v>-126.84619224000073</v>
      </c>
      <c r="H9" s="94">
        <f>-(Balance_5n!H6-Balance_5n!G6+H8)</f>
        <v>-129.38311608480103</v>
      </c>
      <c r="I9" s="94"/>
      <c r="J9" s="94"/>
      <c r="K9" s="94"/>
      <c r="L9" s="95"/>
    </row>
    <row r="10" spans="1:12">
      <c r="A10" s="93"/>
      <c r="B10" s="94"/>
      <c r="C10" s="94" t="s">
        <v>28</v>
      </c>
      <c r="D10" s="94">
        <f>-((Balance_5n!D12+Balance_5n!D13-Balance_5n!D23)-(Balance_5n!C12+Balance_5n!C13-Balance_5n!C23))</f>
        <v>195.79400000000078</v>
      </c>
      <c r="E10" s="94">
        <f>-((Balance_5n!E12+Balance_5n!E13-Balance_5n!E23)-(Balance_5n!D12+Balance_5n!D13-Balance_5n!D23))</f>
        <v>199.70988000000125</v>
      </c>
      <c r="F10" s="94">
        <f>-((Balance_5n!F12+Balance_5n!F13-Balance_5n!F23)-(Balance_5n!E12+Balance_5n!E13-Balance_5n!E23))</f>
        <v>203.70407759999944</v>
      </c>
      <c r="G10" s="94">
        <f>-((Balance_5n!G12+Balance_5n!G13-Balance_5n!G23)-(Balance_5n!F12+Balance_5n!F13-Balance_5n!F23))</f>
        <v>207.77815915199972</v>
      </c>
      <c r="H10" s="94">
        <f>-((Balance_5n!H12+Balance_5n!H13-Balance_5n!H23)-(Balance_5n!G12+Balance_5n!G13-Balance_5n!G23))</f>
        <v>211.93372233503942</v>
      </c>
      <c r="I10" s="94"/>
      <c r="J10" s="94"/>
      <c r="K10" s="94"/>
      <c r="L10" s="95"/>
    </row>
    <row r="11" spans="1:12" ht="15.75" thickBot="1">
      <c r="A11" s="93"/>
      <c r="B11" s="94"/>
      <c r="C11" s="94"/>
      <c r="D11" s="94"/>
      <c r="E11" s="94"/>
      <c r="F11" s="94"/>
      <c r="G11" s="94"/>
      <c r="H11" s="94"/>
      <c r="I11" s="94"/>
      <c r="J11" s="94"/>
      <c r="K11" s="94"/>
      <c r="L11" s="95"/>
    </row>
    <row r="12" spans="1:12" ht="15.75" thickBot="1">
      <c r="A12" s="93"/>
      <c r="B12" s="182" t="s">
        <v>41</v>
      </c>
      <c r="C12" s="183"/>
      <c r="D12" s="17">
        <f>NPV(H12,D5:I5)</f>
        <v>54045.551543399284</v>
      </c>
      <c r="E12" s="94"/>
      <c r="F12" s="94"/>
      <c r="G12" s="18" t="s">
        <v>1</v>
      </c>
      <c r="H12" s="136">
        <f>(('Supuestos Iniciales_n'!C54*Balance_5n!C20)+(Balance_5n!C21+Balance_5n!C22)*'Supuestos Iniciales_n'!C55)/Balance_5n!C18</f>
        <v>6.8697864123695246E-2</v>
      </c>
      <c r="I12" s="94"/>
      <c r="J12" s="94"/>
      <c r="K12" s="94"/>
      <c r="L12" s="95"/>
    </row>
    <row r="13" spans="1:12" ht="15.75" thickBot="1">
      <c r="A13" s="93"/>
      <c r="B13" s="94"/>
      <c r="C13" s="94" t="s">
        <v>30</v>
      </c>
      <c r="D13" s="94">
        <f>Balance_5n!C21+Balance_5n!C24</f>
        <v>16624.7</v>
      </c>
      <c r="E13" s="94"/>
      <c r="F13" s="94"/>
      <c r="G13" s="94"/>
      <c r="H13" s="94"/>
      <c r="I13" s="94"/>
      <c r="J13" s="94"/>
      <c r="K13" s="94"/>
      <c r="L13" s="95"/>
    </row>
    <row r="14" spans="1:12" ht="15.75" thickBot="1">
      <c r="A14" s="93"/>
      <c r="B14" s="182" t="s">
        <v>42</v>
      </c>
      <c r="C14" s="183"/>
      <c r="D14" s="17">
        <f>D12-D13</f>
        <v>37420.851543399287</v>
      </c>
      <c r="E14" s="94"/>
      <c r="F14" s="94"/>
      <c r="G14" s="94"/>
      <c r="H14" s="94"/>
      <c r="I14" s="94"/>
      <c r="J14" s="94"/>
      <c r="K14" s="94"/>
      <c r="L14" s="95"/>
    </row>
    <row r="15" spans="1:12">
      <c r="A15" s="93"/>
      <c r="B15" s="94"/>
      <c r="C15" s="94"/>
      <c r="D15" s="94"/>
      <c r="E15" s="94"/>
      <c r="F15" s="94"/>
      <c r="G15" s="94"/>
      <c r="H15" s="94"/>
      <c r="I15" s="94"/>
      <c r="J15" s="94"/>
      <c r="K15" s="94"/>
      <c r="L15" s="95"/>
    </row>
    <row r="16" spans="1:12" ht="15.75" thickBot="1">
      <c r="A16" s="93"/>
      <c r="B16" s="94"/>
      <c r="C16" s="94"/>
      <c r="D16" s="94"/>
      <c r="E16" s="94"/>
      <c r="F16" s="94"/>
      <c r="G16" s="94"/>
      <c r="H16" s="94"/>
      <c r="I16" s="94"/>
      <c r="J16" s="94"/>
      <c r="K16" s="94"/>
      <c r="L16" s="95"/>
    </row>
    <row r="17" spans="1:12" ht="15.75" thickBot="1">
      <c r="A17" s="93"/>
      <c r="B17" s="94"/>
      <c r="C17" s="94"/>
      <c r="D17" s="64">
        <f>D3</f>
        <v>2010</v>
      </c>
      <c r="E17" s="64">
        <f t="shared" ref="E17:H17" si="1">E3</f>
        <v>2011</v>
      </c>
      <c r="F17" s="64">
        <f t="shared" si="1"/>
        <v>2012</v>
      </c>
      <c r="G17" s="64">
        <f t="shared" si="1"/>
        <v>2013</v>
      </c>
      <c r="H17" s="64">
        <f t="shared" si="1"/>
        <v>2014</v>
      </c>
      <c r="I17" s="63" t="s">
        <v>3</v>
      </c>
      <c r="J17" s="94"/>
      <c r="K17" s="94"/>
      <c r="L17" s="95"/>
    </row>
    <row r="18" spans="1:12" ht="15.75" thickBot="1">
      <c r="A18" s="93"/>
      <c r="B18" s="94"/>
      <c r="C18" s="94"/>
      <c r="D18" s="94"/>
      <c r="E18" s="94"/>
      <c r="F18" s="94"/>
      <c r="G18" s="94"/>
      <c r="H18" s="94"/>
      <c r="I18" s="94"/>
      <c r="J18" s="94"/>
      <c r="K18" s="94"/>
      <c r="L18" s="95"/>
    </row>
    <row r="19" spans="1:12" ht="15.75" thickBot="1">
      <c r="A19" s="93"/>
      <c r="B19" s="182" t="s">
        <v>43</v>
      </c>
      <c r="C19" s="184"/>
      <c r="D19" s="134">
        <f>SUM(D20:D24)</f>
        <v>2558.1205000000036</v>
      </c>
      <c r="E19" s="134">
        <f t="shared" ref="E19:G19" si="2">SUM(E20:E24)</f>
        <v>3426.4385339999985</v>
      </c>
      <c r="F19" s="134">
        <f t="shared" si="2"/>
        <v>3950.0533738800041</v>
      </c>
      <c r="G19" s="134">
        <f t="shared" si="2"/>
        <v>4506.8948140176017</v>
      </c>
      <c r="H19" s="134">
        <f>SUM(H20:H24)</f>
        <v>5098.7651015909532</v>
      </c>
      <c r="I19" s="135">
        <f>H19/(H26-'Supuestos Iniciales_n'!C53)</f>
        <v>104702.02735462505</v>
      </c>
      <c r="J19" s="94"/>
      <c r="K19" s="94"/>
      <c r="L19" s="95"/>
    </row>
    <row r="20" spans="1:12">
      <c r="A20" s="93"/>
      <c r="B20" s="94"/>
      <c r="C20" s="94" t="s">
        <v>32</v>
      </c>
      <c r="D20" s="94">
        <f>PyG_5n!D32</f>
        <v>3563.0691000000052</v>
      </c>
      <c r="E20" s="94">
        <f>PyG_5n!E32</f>
        <v>4237.8871769999978</v>
      </c>
      <c r="F20" s="94">
        <f>PyG_5n!F32</f>
        <v>4956.3794502900055</v>
      </c>
      <c r="G20" s="94">
        <f>PyG_5n!G32</f>
        <v>5720.9282955333019</v>
      </c>
      <c r="H20" s="94">
        <f>PyG_5n!H32</f>
        <v>6534.0391804933424</v>
      </c>
      <c r="I20" s="94"/>
      <c r="J20" s="94"/>
      <c r="K20" s="94"/>
      <c r="L20" s="95"/>
    </row>
    <row r="21" spans="1:12">
      <c r="A21" s="93"/>
      <c r="B21" s="94"/>
      <c r="C21" s="94" t="s">
        <v>51</v>
      </c>
      <c r="D21" s="94">
        <f>-PyG_5n!D32*'Supuestos Iniciales_n'!$C$52</f>
        <v>-1068.9207300000014</v>
      </c>
      <c r="E21" s="94">
        <f>-PyG_5n!E32*'Supuestos Iniciales_n'!$C$52</f>
        <v>-1271.3661530999993</v>
      </c>
      <c r="F21" s="94">
        <f>-PyG_5n!F32*'Supuestos Iniciales_n'!$C$52</f>
        <v>-1486.9138350870016</v>
      </c>
      <c r="G21" s="94">
        <f>-PyG_5n!G32*'Supuestos Iniciales_n'!$C$52</f>
        <v>-1716.2784886599904</v>
      </c>
      <c r="H21" s="94">
        <f>-PyG_5n!H32*'Supuestos Iniciales_n'!$C$52</f>
        <v>-1960.2117541480027</v>
      </c>
      <c r="I21" s="94"/>
      <c r="J21" s="94"/>
      <c r="K21" s="94"/>
      <c r="L21" s="95"/>
    </row>
    <row r="22" spans="1:12">
      <c r="A22" s="93"/>
      <c r="B22" s="94"/>
      <c r="C22" s="94" t="s">
        <v>27</v>
      </c>
      <c r="D22" s="94">
        <f>PyG_5n!D31</f>
        <v>364.18725000000001</v>
      </c>
      <c r="E22" s="94">
        <f>PyG_5n!E31</f>
        <v>382.3966125</v>
      </c>
      <c r="F22" s="94">
        <f>PyG_5n!F31</f>
        <v>401.51644312500002</v>
      </c>
      <c r="G22" s="94">
        <f>PyG_5n!G31</f>
        <v>421.59226528125009</v>
      </c>
      <c r="H22" s="94">
        <f>PyG_5n!H31</f>
        <v>442.67187854531255</v>
      </c>
      <c r="I22" s="94"/>
      <c r="J22" s="94"/>
      <c r="K22" s="94"/>
      <c r="L22" s="95"/>
    </row>
    <row r="23" spans="1:12">
      <c r="A23" s="93"/>
      <c r="B23" s="94"/>
      <c r="C23" s="94" t="s">
        <v>29</v>
      </c>
      <c r="D23" s="94">
        <f>-(Balance_5n!J6-Balance_5n!C6+D22)</f>
        <v>-119.5299999999998</v>
      </c>
      <c r="E23" s="94">
        <f>-(Balance_5n!K6-Balance_5n!J6+E22)</f>
        <v>-121.92060000000066</v>
      </c>
      <c r="F23" s="94">
        <f>-(Balance_5n!L6-Balance_5n!K6+F22)</f>
        <v>-124.35901199999944</v>
      </c>
      <c r="G23" s="94">
        <f>-(Balance_5n!M6-Balance_5n!L6+G22)</f>
        <v>-126.84619224000062</v>
      </c>
      <c r="H23" s="94">
        <f>-(Balance_5n!N6-Balance_5n!M6+H22)</f>
        <v>-129.38311608479887</v>
      </c>
      <c r="I23" s="94"/>
      <c r="J23" s="94"/>
      <c r="K23" s="94"/>
      <c r="L23" s="95"/>
    </row>
    <row r="24" spans="1:12">
      <c r="A24" s="93"/>
      <c r="B24" s="94"/>
      <c r="C24" s="94" t="s">
        <v>28</v>
      </c>
      <c r="D24" s="94">
        <f>-((Balance_5n!J12+Balance_5n!J13-Balance_5n!J23)-(Balance_5n!C12+Balance_5n!C13-Balance_5n!C23))</f>
        <v>-180.6851200000001</v>
      </c>
      <c r="E24" s="94">
        <f>-((Balance_5n!K12+Balance_5n!K13-Balance_5n!K23)-(Balance_5n!J12+Balance_5n!J13-Balance_5n!J23))</f>
        <v>199.44149760000073</v>
      </c>
      <c r="F24" s="94">
        <f>-((Balance_5n!L12+Balance_5n!L13-Balance_5n!L23)-(Balance_5n!K12+Balance_5n!K13-Balance_5n!K23))</f>
        <v>203.43032755199965</v>
      </c>
      <c r="G24" s="94">
        <f>-((Balance_5n!M12+Balance_5n!M13-Balance_5n!M23)-(Balance_5n!L12+Balance_5n!L13-Balance_5n!L23))</f>
        <v>207.49893410303957</v>
      </c>
      <c r="H24" s="94">
        <f>-((Balance_5n!N12+Balance_5n!N13-Balance_5n!N23)-(Balance_5n!M12+Balance_5n!M13-Balance_5n!M23))</f>
        <v>211.64891278510004</v>
      </c>
      <c r="I24" s="94"/>
      <c r="J24" s="94"/>
      <c r="K24" s="94"/>
      <c r="L24" s="95"/>
    </row>
    <row r="25" spans="1:12" ht="15.75" thickBot="1">
      <c r="A25" s="93"/>
      <c r="B25" s="94"/>
      <c r="C25" s="94"/>
      <c r="D25" s="94"/>
      <c r="E25" s="94"/>
      <c r="F25" s="94"/>
      <c r="G25" s="94"/>
      <c r="H25" s="94"/>
      <c r="I25" s="94"/>
      <c r="J25" s="94"/>
      <c r="K25" s="94"/>
      <c r="L25" s="95"/>
    </row>
    <row r="26" spans="1:12" ht="15.75" thickBot="1">
      <c r="A26" s="93"/>
      <c r="B26" s="182" t="s">
        <v>44</v>
      </c>
      <c r="C26" s="183"/>
      <c r="D26" s="17">
        <f>NPV(H26,D19:I19)</f>
        <v>86021.58760572641</v>
      </c>
      <c r="E26" s="94"/>
      <c r="F26" s="94"/>
      <c r="G26" s="18" t="s">
        <v>1</v>
      </c>
      <c r="H26" s="136">
        <f>(('Supuestos Iniciales_n'!C54*Balance_5n!C20)+(Balance_5n!C21+Balance_5n!C22)*'Supuestos Iniciales_n'!C55)/Balance_5n!C18</f>
        <v>6.8697864123695246E-2</v>
      </c>
      <c r="I26" s="94"/>
      <c r="J26" s="94"/>
      <c r="K26" s="94"/>
      <c r="L26" s="95"/>
    </row>
    <row r="27" spans="1:12" ht="15.75" thickBot="1">
      <c r="A27" s="93"/>
      <c r="B27" s="94"/>
      <c r="C27" s="94" t="s">
        <v>30</v>
      </c>
      <c r="D27" s="94">
        <f>D13</f>
        <v>16624.7</v>
      </c>
      <c r="E27" s="94"/>
      <c r="F27" s="94"/>
      <c r="G27" s="94"/>
      <c r="H27" s="94"/>
      <c r="I27" s="94"/>
      <c r="J27" s="94"/>
      <c r="K27" s="94"/>
      <c r="L27" s="95"/>
    </row>
    <row r="28" spans="1:12" ht="15.75" thickBot="1">
      <c r="A28" s="93"/>
      <c r="B28" s="182" t="s">
        <v>42</v>
      </c>
      <c r="C28" s="183"/>
      <c r="D28" s="17">
        <f>D26-D27</f>
        <v>69396.887605726413</v>
      </c>
      <c r="E28" s="94"/>
      <c r="F28" s="94"/>
      <c r="G28" s="94"/>
      <c r="H28" s="94"/>
      <c r="I28" s="94"/>
      <c r="J28" s="94"/>
      <c r="K28" s="94"/>
      <c r="L28" s="95"/>
    </row>
    <row r="29" spans="1:12">
      <c r="A29" s="93"/>
      <c r="B29" s="94"/>
      <c r="C29" s="94"/>
      <c r="D29" s="94"/>
      <c r="E29" s="94"/>
      <c r="F29" s="94"/>
      <c r="G29" s="94"/>
      <c r="H29" s="94"/>
      <c r="I29" s="94"/>
      <c r="J29" s="94"/>
      <c r="K29" s="94"/>
      <c r="L29" s="95"/>
    </row>
    <row r="30" spans="1:12" ht="15.75" thickBot="1">
      <c r="A30" s="93"/>
      <c r="B30" s="94"/>
      <c r="C30" s="94"/>
      <c r="D30" s="94"/>
      <c r="E30" s="94"/>
      <c r="F30" s="94"/>
      <c r="G30" s="94"/>
      <c r="H30" s="94"/>
      <c r="I30" s="94"/>
      <c r="J30" s="94"/>
      <c r="K30" s="94"/>
      <c r="L30" s="95"/>
    </row>
    <row r="31" spans="1:12" ht="15.75" thickBot="1">
      <c r="A31" s="93"/>
      <c r="B31" s="94"/>
      <c r="C31" s="94"/>
      <c r="D31" s="64">
        <f>D17</f>
        <v>2010</v>
      </c>
      <c r="E31" s="64">
        <f t="shared" ref="E31:H31" si="3">E17</f>
        <v>2011</v>
      </c>
      <c r="F31" s="64">
        <f t="shared" si="3"/>
        <v>2012</v>
      </c>
      <c r="G31" s="64">
        <f t="shared" si="3"/>
        <v>2013</v>
      </c>
      <c r="H31" s="64">
        <f t="shared" si="3"/>
        <v>2014</v>
      </c>
      <c r="I31" s="63" t="s">
        <v>3</v>
      </c>
      <c r="J31" s="94"/>
      <c r="K31" s="94"/>
      <c r="L31" s="95"/>
    </row>
    <row r="32" spans="1:12" ht="15.75" thickBot="1">
      <c r="A32" s="93"/>
      <c r="B32" s="94"/>
      <c r="C32" s="94"/>
      <c r="D32" s="94"/>
      <c r="E32" s="94"/>
      <c r="F32" s="94"/>
      <c r="G32" s="94"/>
      <c r="H32" s="94"/>
      <c r="I32" s="94"/>
      <c r="J32" s="94"/>
      <c r="K32" s="94"/>
      <c r="L32" s="95"/>
    </row>
    <row r="33" spans="1:12" ht="15.75" thickBot="1">
      <c r="A33" s="93"/>
      <c r="B33" s="182" t="s">
        <v>45</v>
      </c>
      <c r="C33" s="184"/>
      <c r="D33" s="134">
        <f>SUM(D34:D38)</f>
        <v>523.69960000000128</v>
      </c>
      <c r="E33" s="134">
        <f t="shared" ref="E33:H33" si="4">SUM(E34:E38)</f>
        <v>410.98848299999753</v>
      </c>
      <c r="F33" s="134">
        <f t="shared" si="4"/>
        <v>692.79122420999988</v>
      </c>
      <c r="G33" s="134">
        <f t="shared" si="4"/>
        <v>993.90916882169904</v>
      </c>
      <c r="H33" s="134">
        <f t="shared" si="4"/>
        <v>1315.4125783320096</v>
      </c>
      <c r="I33" s="135">
        <f>H33/(H40-'Supuestos Iniciales_n'!C53)</f>
        <v>27011.709897394878</v>
      </c>
      <c r="J33" s="94"/>
      <c r="K33" s="94"/>
      <c r="L33" s="95"/>
    </row>
    <row r="34" spans="1:12">
      <c r="A34" s="93"/>
      <c r="B34" s="94"/>
      <c r="C34" s="94" t="s">
        <v>32</v>
      </c>
      <c r="D34" s="94">
        <f>PyG_5n!D51</f>
        <v>-418.90110000000089</v>
      </c>
      <c r="E34" s="94">
        <f>PyG_5n!E51</f>
        <v>-70.665417000002492</v>
      </c>
      <c r="F34" s="94">
        <f>PyG_5n!F51</f>
        <v>302.36566490999883</v>
      </c>
      <c r="G34" s="94">
        <f>PyG_5n!G51</f>
        <v>701.57958797069955</v>
      </c>
      <c r="H34" s="94">
        <f>PyG_5n!H51</f>
        <v>1128.4361199807399</v>
      </c>
      <c r="I34" s="94"/>
      <c r="J34" s="94"/>
      <c r="K34" s="94"/>
      <c r="L34" s="95"/>
    </row>
    <row r="35" spans="1:12">
      <c r="A35" s="93"/>
      <c r="B35" s="94"/>
      <c r="C35" s="94" t="s">
        <v>51</v>
      </c>
      <c r="D35" s="94">
        <f>-PyG_5n!D51*('Supuestos Iniciales_n'!$C$52)</f>
        <v>125.67033000000026</v>
      </c>
      <c r="E35" s="94">
        <f>-PyG_5n!E51*('Supuestos Iniciales_n'!$C$52)</f>
        <v>21.199625100000748</v>
      </c>
      <c r="F35" s="94">
        <f>-PyG_5n!F51*('Supuestos Iniciales_n'!$C$52)</f>
        <v>-90.709699472999645</v>
      </c>
      <c r="G35" s="94">
        <f>-PyG_5n!G51*('Supuestos Iniciales_n'!$C$52)</f>
        <v>-210.47387639120987</v>
      </c>
      <c r="H35" s="94">
        <f>-PyG_5n!H51*('Supuestos Iniciales_n'!$C$52)</f>
        <v>-338.53083599422195</v>
      </c>
      <c r="I35" s="94"/>
      <c r="J35" s="94"/>
      <c r="K35" s="94"/>
      <c r="L35" s="95"/>
    </row>
    <row r="36" spans="1:12">
      <c r="A36" s="93"/>
      <c r="B36" s="94"/>
      <c r="C36" s="94" t="s">
        <v>27</v>
      </c>
      <c r="D36" s="94">
        <f>PyG_5n!D50</f>
        <v>402.52275000000003</v>
      </c>
      <c r="E36" s="94">
        <f>PyG_5n!E50</f>
        <v>422.64888750000006</v>
      </c>
      <c r="F36" s="94">
        <f>PyG_5n!F50</f>
        <v>443.78133187500009</v>
      </c>
      <c r="G36" s="94">
        <f>PyG_5n!G50</f>
        <v>465.97039846875009</v>
      </c>
      <c r="H36" s="94">
        <f>PyG_5n!H50</f>
        <v>489.26891839218763</v>
      </c>
      <c r="I36" s="94"/>
      <c r="J36" s="94"/>
      <c r="K36" s="94"/>
      <c r="L36" s="95"/>
    </row>
    <row r="37" spans="1:12">
      <c r="A37" s="93"/>
      <c r="B37" s="94"/>
      <c r="C37" s="94" t="s">
        <v>29</v>
      </c>
      <c r="D37" s="94">
        <f>-(Balance_5n!P6-Balance_5n!C6+D36)</f>
        <v>-157.86549999999983</v>
      </c>
      <c r="E37" s="94">
        <f>-(Balance_5n!Q6-Balance_5n!P6+E36)</f>
        <v>-162.17287500000072</v>
      </c>
      <c r="F37" s="94">
        <f>-(Balance_5n!R6-Balance_5n!Q6+F36)</f>
        <v>-166.62390074999951</v>
      </c>
      <c r="G37" s="94">
        <f>-(Balance_5n!S6-Balance_5n!R6+G36)</f>
        <v>-171.22432542750062</v>
      </c>
      <c r="H37" s="94">
        <f>-(Balance_5n!T6-Balance_5n!S6+H36)</f>
        <v>-175.98015593167395</v>
      </c>
      <c r="I37" s="94"/>
      <c r="J37" s="94"/>
      <c r="K37" s="94"/>
      <c r="L37" s="95"/>
    </row>
    <row r="38" spans="1:12">
      <c r="A38" s="93"/>
      <c r="B38" s="94"/>
      <c r="C38" s="94" t="s">
        <v>28</v>
      </c>
      <c r="D38" s="94">
        <f>-((Balance_5n!P12+Balance_5n!P13-Balance_5n!P23)-(Balance_5n!C12+Balance_5n!C13-Balance_5n!C23))</f>
        <v>572.27312000000165</v>
      </c>
      <c r="E38" s="94">
        <f>-((Balance_5n!Q12+Balance_5n!Q13-Balance_5n!Q23)-(Balance_5n!P12+Balance_5n!P13-Balance_5n!P23))</f>
        <v>199.97826239999995</v>
      </c>
      <c r="F38" s="94">
        <f>-((Balance_5n!R12+Balance_5n!R13-Balance_5n!R23)-(Balance_5n!Q12+Balance_5n!Q13-Balance_5n!Q23))</f>
        <v>203.97782764800013</v>
      </c>
      <c r="G38" s="94">
        <f>-((Balance_5n!S12+Balance_5n!S13-Balance_5n!S23)-(Balance_5n!R12+Balance_5n!R13-Balance_5n!R23))</f>
        <v>208.05738420095986</v>
      </c>
      <c r="H38" s="94">
        <f>-((Balance_5n!T12+Balance_5n!T13-Balance_5n!T23)-(Balance_5n!S12+Balance_5n!S13-Balance_5n!S23))</f>
        <v>212.21853188497789</v>
      </c>
      <c r="I38" s="94"/>
      <c r="J38" s="94"/>
      <c r="K38" s="94"/>
      <c r="L38" s="95"/>
    </row>
    <row r="39" spans="1:12" ht="15.75" thickBot="1">
      <c r="A39" s="93"/>
      <c r="B39" s="94"/>
      <c r="C39" s="94"/>
      <c r="D39" s="94"/>
      <c r="E39" s="94"/>
      <c r="F39" s="94"/>
      <c r="G39" s="94"/>
      <c r="H39" s="94"/>
      <c r="I39" s="94"/>
      <c r="J39" s="94"/>
      <c r="K39" s="94"/>
      <c r="L39" s="95"/>
    </row>
    <row r="40" spans="1:12" ht="15.75" thickBot="1">
      <c r="A40" s="93"/>
      <c r="B40" s="182" t="s">
        <v>46</v>
      </c>
      <c r="C40" s="183"/>
      <c r="D40" s="17">
        <f>NPV(H40,D33:I33)</f>
        <v>21254.054850356893</v>
      </c>
      <c r="E40" s="94"/>
      <c r="F40" s="94"/>
      <c r="G40" s="18" t="s">
        <v>1</v>
      </c>
      <c r="H40" s="136">
        <f>(('Supuestos Iniciales_n'!C54*Balance_5n!C20)+(Balance_5n!C21+Balance_5n!C22)*'Supuestos Iniciales_n'!C55)/Balance_5n!C18</f>
        <v>6.8697864123695246E-2</v>
      </c>
      <c r="I40" s="94"/>
      <c r="J40" s="94"/>
      <c r="K40" s="94"/>
      <c r="L40" s="95"/>
    </row>
    <row r="41" spans="1:12" ht="15.75" thickBot="1">
      <c r="A41" s="93"/>
      <c r="B41" s="94"/>
      <c r="C41" s="94" t="s">
        <v>30</v>
      </c>
      <c r="D41" s="94">
        <f>D27</f>
        <v>16624.7</v>
      </c>
      <c r="E41" s="94"/>
      <c r="F41" s="94"/>
      <c r="G41" s="94"/>
      <c r="H41" s="94"/>
      <c r="I41" s="94"/>
      <c r="J41" s="94"/>
      <c r="K41" s="94"/>
      <c r="L41" s="95"/>
    </row>
    <row r="42" spans="1:12" ht="15.75" thickBot="1">
      <c r="A42" s="93"/>
      <c r="B42" s="182" t="s">
        <v>42</v>
      </c>
      <c r="C42" s="183"/>
      <c r="D42" s="17">
        <f>D40-D41</f>
        <v>4629.3548503568927</v>
      </c>
      <c r="E42" s="94"/>
      <c r="F42" s="94"/>
      <c r="G42" s="94"/>
      <c r="H42" s="94"/>
      <c r="I42" s="94"/>
      <c r="J42" s="94"/>
      <c r="K42" s="94"/>
      <c r="L42" s="95"/>
    </row>
    <row r="43" spans="1:12" ht="15.75" thickBot="1">
      <c r="A43" s="104"/>
      <c r="B43" s="105"/>
      <c r="C43" s="105"/>
      <c r="D43" s="105"/>
      <c r="E43" s="105"/>
      <c r="F43" s="105"/>
      <c r="G43" s="105"/>
      <c r="H43" s="105"/>
      <c r="I43" s="105"/>
      <c r="J43" s="105"/>
      <c r="K43" s="105"/>
      <c r="L43" s="106"/>
    </row>
  </sheetData>
  <mergeCells count="10">
    <mergeCell ref="B28:C28"/>
    <mergeCell ref="B33:C33"/>
    <mergeCell ref="B40:C40"/>
    <mergeCell ref="B42:C42"/>
    <mergeCell ref="B2:C2"/>
    <mergeCell ref="B5:C5"/>
    <mergeCell ref="B12:C12"/>
    <mergeCell ref="B14:C14"/>
    <mergeCell ref="B19:C19"/>
    <mergeCell ref="B26:C26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Hoja38"/>
  <dimension ref="A1:P23"/>
  <sheetViews>
    <sheetView workbookViewId="0"/>
  </sheetViews>
  <sheetFormatPr baseColWidth="10" defaultRowHeight="12.75"/>
  <cols>
    <col min="1" max="1" width="4.42578125" style="73" customWidth="1"/>
    <col min="2" max="2" width="22.5703125" style="73" bestFit="1" customWidth="1"/>
    <col min="3" max="4" width="7.5703125" style="73" customWidth="1"/>
    <col min="5" max="6" width="17.140625" style="73" customWidth="1"/>
    <col min="7" max="16384" width="11.42578125" style="73"/>
  </cols>
  <sheetData>
    <row r="1" spans="1:16" ht="13.5" thickBot="1">
      <c r="A1" s="70"/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2"/>
    </row>
    <row r="2" spans="1:16">
      <c r="A2" s="74"/>
      <c r="B2" s="75" t="s">
        <v>13</v>
      </c>
      <c r="C2" s="193" t="s">
        <v>47</v>
      </c>
      <c r="D2" s="193"/>
      <c r="E2" s="170" t="str">
        <f>'Supuestos Iniciales_n'!F10</f>
        <v>Millones de Euros</v>
      </c>
      <c r="F2" s="88"/>
      <c r="G2" s="76"/>
      <c r="H2" s="76"/>
      <c r="I2" s="76"/>
      <c r="J2" s="76"/>
      <c r="K2" s="76"/>
      <c r="L2" s="76"/>
      <c r="M2" s="76"/>
      <c r="N2" s="76"/>
      <c r="O2" s="76"/>
      <c r="P2" s="77"/>
    </row>
    <row r="3" spans="1:16">
      <c r="A3" s="74"/>
      <c r="B3" s="78" t="s">
        <v>48</v>
      </c>
      <c r="C3" s="187"/>
      <c r="D3" s="187"/>
      <c r="E3" s="189">
        <f>Balance_5n!C20</f>
        <v>7522.5</v>
      </c>
      <c r="F3" s="190"/>
      <c r="G3" s="76"/>
      <c r="H3" s="76"/>
      <c r="I3" s="76"/>
      <c r="J3" s="76"/>
      <c r="K3" s="76"/>
      <c r="L3" s="76"/>
      <c r="M3" s="76"/>
      <c r="N3" s="76"/>
      <c r="O3" s="76"/>
      <c r="P3" s="77"/>
    </row>
    <row r="4" spans="1:16">
      <c r="A4" s="74"/>
      <c r="B4" s="78" t="s">
        <v>49</v>
      </c>
      <c r="C4" s="187"/>
      <c r="D4" s="187"/>
      <c r="E4" s="189">
        <f>Balance_ajustado_n!C26+Balance_ajustado_n!C27</f>
        <v>9522.5</v>
      </c>
      <c r="F4" s="190"/>
      <c r="G4" s="76"/>
      <c r="H4" s="76"/>
      <c r="I4" s="76"/>
      <c r="J4" s="76"/>
      <c r="K4" s="76"/>
      <c r="L4" s="76"/>
      <c r="M4" s="76"/>
      <c r="N4" s="76"/>
      <c r="O4" s="76"/>
      <c r="P4" s="77"/>
    </row>
    <row r="5" spans="1:16">
      <c r="A5" s="74"/>
      <c r="B5" s="78" t="s">
        <v>14</v>
      </c>
      <c r="C5" s="79">
        <f>'Supuestos Iniciales_n'!C58</f>
        <v>1.5</v>
      </c>
      <c r="D5" s="79">
        <f>'Supuestos Iniciales_n'!D58</f>
        <v>2</v>
      </c>
      <c r="E5" s="80">
        <f>C5*PyG_5n!C5</f>
        <v>23408.85</v>
      </c>
      <c r="F5" s="81">
        <f>D5*PyG_5n!C5</f>
        <v>31211.8</v>
      </c>
      <c r="G5" s="76"/>
      <c r="H5" s="76"/>
      <c r="I5" s="76"/>
      <c r="J5" s="76"/>
      <c r="K5" s="76"/>
      <c r="L5" s="76"/>
      <c r="M5" s="76"/>
      <c r="N5" s="76"/>
      <c r="O5" s="76"/>
      <c r="P5" s="77"/>
    </row>
    <row r="6" spans="1:16">
      <c r="A6" s="74"/>
      <c r="B6" s="78" t="s">
        <v>32</v>
      </c>
      <c r="C6" s="79">
        <f>'Supuestos Iniciales_n'!C59</f>
        <v>8</v>
      </c>
      <c r="D6" s="79">
        <f>'Supuestos Iniciales_n'!D59</f>
        <v>10</v>
      </c>
      <c r="E6" s="80">
        <f>PyG_5n!C13*C6</f>
        <v>8331.2000000000007</v>
      </c>
      <c r="F6" s="81">
        <f>PyG_5n!C13*D6</f>
        <v>10414</v>
      </c>
      <c r="G6" s="76"/>
      <c r="H6" s="76"/>
      <c r="I6" s="76"/>
      <c r="J6" s="76"/>
      <c r="K6" s="76"/>
      <c r="L6" s="76"/>
      <c r="M6" s="76"/>
      <c r="N6" s="76"/>
      <c r="O6" s="76"/>
      <c r="P6" s="77"/>
    </row>
    <row r="7" spans="1:16">
      <c r="A7" s="74"/>
      <c r="B7" s="78" t="s">
        <v>0</v>
      </c>
      <c r="C7" s="79">
        <f>'Supuestos Iniciales_n'!C60</f>
        <v>12</v>
      </c>
      <c r="D7" s="79">
        <f>'Supuestos Iniciales_n'!D60</f>
        <v>14</v>
      </c>
      <c r="E7" s="80">
        <f>C7*PyG_5n!C18</f>
        <v>23766</v>
      </c>
      <c r="F7" s="81">
        <f>D7*PyG_5n!C18</f>
        <v>27727</v>
      </c>
      <c r="G7" s="76"/>
      <c r="H7" s="76"/>
      <c r="I7" s="76"/>
      <c r="J7" s="76"/>
      <c r="K7" s="76"/>
      <c r="L7" s="76"/>
      <c r="M7" s="76"/>
      <c r="N7" s="76"/>
      <c r="O7" s="76"/>
      <c r="P7" s="77"/>
    </row>
    <row r="8" spans="1:16">
      <c r="A8" s="74"/>
      <c r="B8" s="78" t="s">
        <v>2</v>
      </c>
      <c r="C8" s="187"/>
      <c r="D8" s="187"/>
      <c r="E8" s="189">
        <f>Proyecciones_5n!D14</f>
        <v>37420.851543399287</v>
      </c>
      <c r="F8" s="190"/>
      <c r="G8" s="76"/>
      <c r="H8" s="76"/>
      <c r="I8" s="76"/>
      <c r="J8" s="76"/>
      <c r="K8" s="76"/>
      <c r="L8" s="76"/>
      <c r="M8" s="76"/>
      <c r="N8" s="76"/>
      <c r="O8" s="76"/>
      <c r="P8" s="77"/>
    </row>
    <row r="9" spans="1:16">
      <c r="A9" s="74"/>
      <c r="B9" s="78" t="s">
        <v>15</v>
      </c>
      <c r="C9" s="187"/>
      <c r="D9" s="187"/>
      <c r="E9" s="189">
        <f>Proyecciones_5n!D28</f>
        <v>69396.887605726413</v>
      </c>
      <c r="F9" s="190"/>
      <c r="G9" s="76"/>
      <c r="H9" s="76"/>
      <c r="I9" s="76"/>
      <c r="J9" s="76"/>
      <c r="K9" s="76"/>
      <c r="L9" s="76"/>
      <c r="M9" s="76"/>
      <c r="N9" s="76"/>
      <c r="O9" s="76"/>
      <c r="P9" s="77"/>
    </row>
    <row r="10" spans="1:16" ht="13.5" thickBot="1">
      <c r="A10" s="74"/>
      <c r="B10" s="82" t="s">
        <v>16</v>
      </c>
      <c r="C10" s="188"/>
      <c r="D10" s="188"/>
      <c r="E10" s="191">
        <f>Proyecciones_5n!D42</f>
        <v>4629.3548503568927</v>
      </c>
      <c r="F10" s="192"/>
      <c r="G10" s="76"/>
      <c r="H10" s="76"/>
      <c r="I10" s="76"/>
      <c r="J10" s="76"/>
      <c r="K10" s="76"/>
      <c r="L10" s="76"/>
      <c r="M10" s="76"/>
      <c r="N10" s="76"/>
      <c r="O10" s="76"/>
      <c r="P10" s="77"/>
    </row>
    <row r="11" spans="1:16">
      <c r="A11" s="74"/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7"/>
    </row>
    <row r="12" spans="1:16">
      <c r="A12" s="74"/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7"/>
    </row>
    <row r="13" spans="1:16">
      <c r="A13" s="74"/>
      <c r="B13" s="76"/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7"/>
    </row>
    <row r="14" spans="1:16">
      <c r="A14" s="74"/>
      <c r="B14" s="76"/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7"/>
    </row>
    <row r="15" spans="1:16">
      <c r="A15" s="74"/>
      <c r="B15" s="76"/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7"/>
    </row>
    <row r="16" spans="1:16">
      <c r="A16" s="74"/>
      <c r="B16" s="76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  <c r="P16" s="77"/>
    </row>
    <row r="17" spans="1:16">
      <c r="A17" s="74"/>
      <c r="B17" s="76"/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7"/>
    </row>
    <row r="18" spans="1:16">
      <c r="A18" s="74"/>
      <c r="B18" s="76"/>
      <c r="C18" s="76"/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  <c r="O18" s="76"/>
      <c r="P18" s="77"/>
    </row>
    <row r="19" spans="1:16">
      <c r="A19" s="74"/>
      <c r="B19" s="76"/>
      <c r="C19" s="76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76"/>
      <c r="P19" s="77"/>
    </row>
    <row r="20" spans="1:16">
      <c r="A20" s="74"/>
      <c r="B20" s="76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  <c r="O20" s="76"/>
      <c r="P20" s="77"/>
    </row>
    <row r="21" spans="1:16">
      <c r="A21" s="74"/>
      <c r="B21" s="76"/>
      <c r="C21" s="76"/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  <c r="O21" s="76"/>
      <c r="P21" s="77"/>
    </row>
    <row r="22" spans="1:16">
      <c r="A22" s="74"/>
      <c r="B22" s="76"/>
      <c r="C22" s="76"/>
      <c r="D22" s="76"/>
      <c r="E22" s="76"/>
      <c r="F22" s="76"/>
      <c r="G22" s="76"/>
      <c r="H22" s="76"/>
      <c r="I22" s="76"/>
      <c r="J22" s="76"/>
      <c r="K22" s="76"/>
      <c r="L22" s="76"/>
      <c r="M22" s="76"/>
      <c r="N22" s="76"/>
      <c r="O22" s="76"/>
      <c r="P22" s="77"/>
    </row>
    <row r="23" spans="1:16" ht="13.5" thickBot="1">
      <c r="A23" s="83"/>
      <c r="B23" s="84"/>
      <c r="C23" s="84"/>
      <c r="D23" s="84"/>
      <c r="E23" s="84"/>
      <c r="F23" s="84"/>
      <c r="G23" s="84"/>
      <c r="H23" s="84"/>
      <c r="I23" s="84"/>
      <c r="J23" s="84"/>
      <c r="K23" s="84"/>
      <c r="L23" s="84"/>
      <c r="M23" s="84"/>
      <c r="N23" s="84"/>
      <c r="O23" s="84"/>
      <c r="P23" s="85"/>
    </row>
  </sheetData>
  <mergeCells count="8">
    <mergeCell ref="C8:D10"/>
    <mergeCell ref="E8:F8"/>
    <mergeCell ref="E9:F9"/>
    <mergeCell ref="E10:F10"/>
    <mergeCell ref="C2:D2"/>
    <mergeCell ref="C3:D4"/>
    <mergeCell ref="E3:F3"/>
    <mergeCell ref="E4:F4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7</vt:i4>
      </vt:variant>
    </vt:vector>
  </HeadingPairs>
  <TitlesOfParts>
    <vt:vector size="14" baseType="lpstr">
      <vt:lpstr>Inicio</vt:lpstr>
      <vt:lpstr>Supuestos Iniciales_n</vt:lpstr>
      <vt:lpstr>Balance_5n</vt:lpstr>
      <vt:lpstr>Balance_ajustado_n</vt:lpstr>
      <vt:lpstr>PyG_5n</vt:lpstr>
      <vt:lpstr>Proyecciones_5n</vt:lpstr>
      <vt:lpstr>Valoración empresa_5n</vt:lpstr>
      <vt:lpstr>anys</vt:lpstr>
      <vt:lpstr>Balance_5n!Área_de_impresión</vt:lpstr>
      <vt:lpstr>Balance_ajustado_n!Área_de_impresión</vt:lpstr>
      <vt:lpstr>Proyecciones_5n!Área_de_impresión</vt:lpstr>
      <vt:lpstr>PyG_5n!Área_de_impresión</vt:lpstr>
      <vt:lpstr>'Supuestos Iniciales_n'!Área_de_impresión</vt:lpstr>
      <vt:lpstr>'Valoración empresa_5n'!Área_de_impresión</vt:lpstr>
    </vt:vector>
  </TitlesOfParts>
  <Company>Enginyeria i Arquitectura La Salle - URL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Quico</dc:creator>
  <cp:lastModifiedBy>Quico</cp:lastModifiedBy>
  <cp:lastPrinted>2010-06-22T09:33:08Z</cp:lastPrinted>
  <dcterms:created xsi:type="dcterms:W3CDTF">2010-04-28T13:09:13Z</dcterms:created>
  <dcterms:modified xsi:type="dcterms:W3CDTF">2010-11-23T10:06:28Z</dcterms:modified>
</cp:coreProperties>
</file>